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_Dossiers clos\Reboisements Nicolas Dezecache\Reboisement ND_Joudes (71)\Dossier d'instruction\"/>
    </mc:Choice>
  </mc:AlternateContent>
  <xr:revisionPtr revIDLastSave="0" documentId="13_ncr:1_{436F6203-937E-4CEE-9BFB-079BDD5BA1CA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D154" i="2" s="1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B156" i="2" l="1"/>
  <c r="ED155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Y161" i="2"/>
  <c r="ED161" i="2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HH163" i="2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H164" i="2" l="1"/>
  <c r="EY163" i="2"/>
  <c r="ED163" i="2"/>
  <c r="FR164" i="2"/>
  <c r="DI163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HJ166" i="2" s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FQ193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HG197" i="2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D200" i="2" l="1"/>
  <c r="DI200" i="2"/>
  <c r="EY200" i="2"/>
  <c r="FS201" i="2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EW202" i="2"/>
  <c r="HG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62" i="2" a="1"/>
  <c r="FY62" i="2" s="1"/>
  <c r="FY149" i="2" a="1"/>
  <c r="FY149" i="2" s="1"/>
  <c r="FY172" i="2" a="1"/>
  <c r="FY172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53" i="2" a="1"/>
  <c r="EI153" i="2" s="1"/>
  <c r="EI29" i="2" a="1"/>
  <c r="EI29" i="2" s="1"/>
  <c r="EI150" i="2" a="1"/>
  <c r="EI150" i="2" s="1"/>
  <c r="EI162" i="2" a="1"/>
  <c r="EI162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AH19" i="2" a="1"/>
  <c r="AH19" i="2" s="1"/>
  <c r="AH62" i="2" a="1"/>
  <c r="AH62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AX200" i="2"/>
  <c r="EI166" i="2" l="1" a="1"/>
  <c r="EI166" i="2" s="1"/>
  <c r="EI198" i="2" a="1"/>
  <c r="EI198" i="2" s="1"/>
  <c r="EI145" i="2" a="1"/>
  <c r="EI145" i="2" s="1"/>
  <c r="EI106" i="2" a="1"/>
  <c r="EI106" i="2" s="1"/>
  <c r="EY202" i="2"/>
  <c r="CS134" i="2" a="1"/>
  <c r="CS134" i="2" s="1"/>
  <c r="CS185" i="2" a="1"/>
  <c r="CS185" i="2" s="1"/>
  <c r="CS114" i="2" a="1"/>
  <c r="CS114" i="2" s="1"/>
  <c r="CS120" i="2" a="1"/>
  <c r="CS120" i="2" s="1"/>
  <c r="CS38" i="2" a="1"/>
  <c r="CS38" i="2" s="1"/>
  <c r="CS66" i="2" a="1"/>
  <c r="CS66" i="2" s="1"/>
  <c r="CS24" i="2" a="1"/>
  <c r="CS24" i="2" s="1"/>
  <c r="CS56" i="2" a="1"/>
  <c r="CS56" i="2" s="1"/>
  <c r="CS105" i="2" a="1"/>
  <c r="CS105" i="2" s="1"/>
  <c r="CS116" i="2" a="1"/>
  <c r="CS116" i="2" s="1"/>
  <c r="CS72" i="2" a="1"/>
  <c r="CS72" i="2" s="1"/>
  <c r="CS137" i="2" a="1"/>
  <c r="CS137" i="2" s="1"/>
  <c r="CS129" i="2" a="1"/>
  <c r="CS129" i="2" s="1"/>
  <c r="CS161" i="2" a="1"/>
  <c r="CS161" i="2" s="1"/>
  <c r="CS77" i="2" a="1"/>
  <c r="CS77" i="2" s="1"/>
  <c r="CS52" i="2" a="1"/>
  <c r="CS52" i="2" s="1"/>
  <c r="FD59" i="2" a="1"/>
  <c r="FD59" i="2" s="1"/>
  <c r="FY104" i="2" a="1"/>
  <c r="FY104" i="2" s="1"/>
  <c r="FY24" i="2" a="1"/>
  <c r="FY24" i="2" s="1"/>
  <c r="FY190" i="2" a="1"/>
  <c r="FY190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AH163" i="2" a="1"/>
  <c r="AH163" i="2" s="1"/>
  <c r="FD144" i="2" a="1"/>
  <c r="FD144" i="2" s="1"/>
  <c r="FY34" i="2" a="1"/>
  <c r="FY34" i="2" s="1"/>
  <c r="FY124" i="2" a="1"/>
  <c r="FY124" i="2" s="1"/>
  <c r="FY72" i="2" a="1"/>
  <c r="FY7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FD21" i="2" a="1"/>
  <c r="FD21" i="2" s="1"/>
  <c r="FY164" i="2" a="1"/>
  <c r="FY164" i="2" s="1"/>
  <c r="FY169" i="2" a="1"/>
  <c r="FY169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C32" i="2" a="1"/>
  <c r="BC32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Y203" i="2"/>
  <c r="ED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J18" i="2" l="1"/>
  <c r="FJ156" i="2"/>
  <c r="FJ155" i="2"/>
  <c r="FJ55" i="2"/>
  <c r="FJ154" i="2"/>
  <c r="FJ66" i="2"/>
  <c r="FJ151" i="2"/>
  <c r="FJ45" i="2"/>
  <c r="FJ105" i="2"/>
  <c r="FJ57" i="2"/>
  <c r="FJ34" i="2"/>
  <c r="FJ92" i="2"/>
  <c r="FJ163" i="2"/>
  <c r="FJ122" i="2"/>
  <c r="FJ129" i="2"/>
  <c r="FJ93" i="2"/>
  <c r="FJ95" i="2"/>
  <c r="FJ142" i="2"/>
  <c r="FJ179" i="2"/>
  <c r="FJ100" i="2"/>
  <c r="FJ153" i="2"/>
  <c r="FJ132" i="2"/>
  <c r="FJ147" i="2"/>
  <c r="FJ29" i="2"/>
  <c r="FJ161" i="2"/>
  <c r="FJ99" i="2"/>
  <c r="FJ9" i="2"/>
  <c r="FJ83" i="2"/>
  <c r="FJ104" i="2"/>
  <c r="FJ69" i="2"/>
  <c r="FJ141" i="2"/>
  <c r="FJ59" i="2"/>
  <c r="FJ74" i="2"/>
  <c r="FJ108" i="2"/>
  <c r="FJ5" i="2"/>
  <c r="FJ133" i="2"/>
  <c r="FJ196" i="2"/>
  <c r="FJ148" i="2"/>
  <c r="FJ164" i="2"/>
  <c r="FJ121" i="2"/>
  <c r="FJ24" i="2"/>
  <c r="FJ158" i="2"/>
  <c r="FJ26" i="2"/>
  <c r="FJ98" i="2"/>
  <c r="FJ101" i="2"/>
  <c r="FJ174" i="2"/>
  <c r="FJ32" i="2"/>
  <c r="FJ6" i="2"/>
  <c r="FJ39" i="2"/>
  <c r="FJ19" i="2"/>
  <c r="FJ171" i="2"/>
  <c r="FJ107" i="2"/>
  <c r="FJ78" i="2"/>
  <c r="FJ25" i="2"/>
  <c r="FJ202" i="2"/>
  <c r="FJ4" i="2"/>
  <c r="FJ20" i="2"/>
  <c r="FJ35" i="2"/>
  <c r="FJ79" i="2"/>
  <c r="FJ91" i="2"/>
  <c r="FJ127" i="2"/>
  <c r="FJ72" i="2"/>
  <c r="FJ139" i="2"/>
  <c r="FJ86" i="2"/>
  <c r="FJ120" i="2"/>
  <c r="FJ30" i="2"/>
  <c r="FJ124" i="2"/>
  <c r="FJ118" i="2"/>
  <c r="FJ183" i="2"/>
  <c r="FJ82" i="2"/>
  <c r="FJ3" i="2"/>
  <c r="C13" i="4" s="1"/>
  <c r="E13" i="4" s="1"/>
  <c r="F13" i="4" s="1"/>
  <c r="G13" i="4" s="1"/>
  <c r="L13" i="4" s="1"/>
  <c r="FJ192" i="2"/>
  <c r="FJ162" i="2"/>
  <c r="FJ44" i="2"/>
  <c r="FJ7" i="2"/>
  <c r="FJ14" i="2"/>
  <c r="FJ159" i="2"/>
  <c r="FJ97" i="2"/>
  <c r="FJ31" i="2"/>
  <c r="FJ144" i="2"/>
  <c r="FJ12" i="2"/>
  <c r="FJ111" i="2"/>
  <c r="FJ40" i="2"/>
  <c r="FJ94" i="2"/>
  <c r="FJ27" i="2"/>
  <c r="FJ145" i="2"/>
  <c r="FJ37" i="2"/>
  <c r="FJ157" i="2"/>
  <c r="FJ89" i="2"/>
  <c r="FJ23" i="2"/>
  <c r="FJ68" i="2"/>
  <c r="FJ38" i="2"/>
  <c r="FJ113" i="2"/>
  <c r="FJ172" i="2"/>
  <c r="FJ49" i="2"/>
  <c r="FJ135" i="2"/>
  <c r="FJ67" i="2"/>
  <c r="FJ191" i="2"/>
  <c r="FJ177" i="2"/>
  <c r="FJ90" i="2"/>
  <c r="FJ128" i="2"/>
  <c r="FJ149" i="2"/>
  <c r="FJ180" i="2"/>
  <c r="FJ81" i="2"/>
  <c r="FJ70" i="2"/>
  <c r="FJ11" i="2"/>
  <c r="FJ43" i="2"/>
  <c r="FJ85" i="2"/>
  <c r="FJ65" i="2"/>
  <c r="FJ166" i="2"/>
  <c r="FJ48" i="2"/>
  <c r="FJ116" i="2"/>
  <c r="FJ182" i="2"/>
  <c r="FJ137" i="2"/>
  <c r="FJ41" i="2"/>
  <c r="FJ175" i="2"/>
  <c r="FJ58" i="2"/>
  <c r="FJ169" i="2"/>
  <c r="FJ47" i="2"/>
  <c r="FJ134" i="2"/>
  <c r="FJ119" i="2"/>
  <c r="FJ21" i="2"/>
  <c r="FJ190" i="2"/>
  <c r="FJ197" i="2"/>
  <c r="FJ112" i="2"/>
  <c r="FJ187" i="2"/>
  <c r="FJ22" i="2"/>
  <c r="FJ76" i="2"/>
  <c r="FJ46" i="2"/>
  <c r="FJ123" i="2"/>
  <c r="FJ103" i="2"/>
  <c r="FJ146" i="2"/>
  <c r="FJ150" i="2"/>
  <c r="FJ106" i="2"/>
  <c r="FJ16" i="2"/>
  <c r="FJ136" i="2"/>
  <c r="FJ160" i="2"/>
  <c r="FJ36" i="2"/>
  <c r="FJ168" i="2"/>
  <c r="FJ88" i="2"/>
  <c r="FJ71" i="2"/>
  <c r="FJ181" i="2"/>
  <c r="FJ17" i="2"/>
  <c r="FJ96" i="2"/>
  <c r="FJ203" i="2"/>
  <c r="FJ140" i="2"/>
  <c r="FJ176" i="2"/>
  <c r="FJ126" i="2"/>
  <c r="FJ117" i="2"/>
  <c r="FJ10" i="2"/>
  <c r="FJ178" i="2"/>
  <c r="FJ28" i="2"/>
  <c r="FJ102" i="2"/>
  <c r="FJ165" i="2"/>
  <c r="FJ42" i="2"/>
  <c r="FJ125" i="2"/>
  <c r="FJ201" i="2"/>
  <c r="FJ13" i="2"/>
  <c r="FJ114" i="2"/>
  <c r="FJ184" i="2"/>
  <c r="FJ170" i="2"/>
  <c r="FJ15" i="2"/>
  <c r="FJ195" i="2"/>
  <c r="FJ138" i="2"/>
  <c r="FJ33" i="2"/>
  <c r="FJ199" i="2"/>
  <c r="FJ198" i="2"/>
  <c r="FJ188" i="2"/>
  <c r="FJ110" i="2"/>
  <c r="FJ64" i="2"/>
  <c r="FJ54" i="2"/>
  <c r="FJ52" i="2"/>
  <c r="FJ53" i="2"/>
  <c r="FJ109" i="2"/>
  <c r="FJ200" i="2"/>
  <c r="FJ80" i="2"/>
  <c r="FJ143" i="2"/>
  <c r="FJ186" i="2"/>
  <c r="FJ61" i="2"/>
  <c r="FJ50" i="2"/>
  <c r="FJ62" i="2"/>
  <c r="FJ152" i="2"/>
  <c r="FJ87" i="2"/>
  <c r="FJ115" i="2"/>
  <c r="FJ173" i="2"/>
  <c r="FJ130" i="2"/>
  <c r="FJ167" i="2"/>
  <c r="FJ56" i="2"/>
  <c r="FJ84" i="2"/>
  <c r="FJ75" i="2"/>
  <c r="FJ193" i="2"/>
  <c r="FJ51" i="2"/>
  <c r="FJ60" i="2"/>
  <c r="FJ131" i="2"/>
  <c r="FJ63" i="2"/>
  <c r="FJ77" i="2"/>
  <c r="FJ194" i="2"/>
  <c r="FJ8" i="2"/>
  <c r="FJ185" i="2"/>
  <c r="FJ73" i="2"/>
  <c r="FJ189" i="2"/>
  <c r="CD60" i="2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<sst xmlns="http://schemas.openxmlformats.org/spreadsheetml/2006/main" count="1185" uniqueCount="326">
  <si>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</si>
  <si>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</si>
  <si>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</si>
  <si>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</si>
  <si>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</si>
  <si>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</si>
  <si>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</si>
  <si>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</si>
  <si>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</si>
  <si>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</si>
  <si>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</si>
  <si>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</si>
  <si>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</si>
  <si>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</si>
  <si>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</si>
  <si>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</si>
  <si>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</si>
  <si>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</si>
  <si>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</si>
  <si>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</si>
  <si>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</si>
  <si>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</si>
  <si>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</si>
  <si>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</si>
  <si>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</si>
  <si>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</si>
  <si>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</si>
  <si>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</si>
  <si>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</si>
  <si>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</si>
  <si>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</si>
  <si>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</si>
  <si>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</si>
  <si>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</si>
  <si>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</si>
  <si>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</si>
  <si>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</si>
  <si>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</si>
  <si>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</si>
  <si>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</si>
  <si>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</si>
  <si>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</si>
  <si>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</si>
  <si>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</si>
  <si>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</si>
  <si>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</si>
  <si>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</si>
  <si>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</si>
  <si>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</si>
  <si>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</si>
  <si>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</si>
  <si>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</si>
  <si>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</si>
  <si>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</si>
  <si>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</si>
  <si>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</si>
  <si>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</si>
  <si>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</si>
  <si>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</si>
  <si>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</si>
  <si>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</si>
  <si>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</si>
  <si>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</si>
  <si>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</si>
  <si>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</si>
  <si>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</si>
  <si>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</si>
  <si>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</si>
  <si>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</si>
  <si>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</si>
  <si>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</si>
  <si>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</si>
  <si>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</si>
  <si>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</si>
  <si>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</si>
  <si>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</si>
  <si>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</si>
  <si>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</si>
  <si>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</si>
  <si>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</si>
  <si>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</si>
  <si>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</si>
  <si>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</si>
  <si>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</si>
  <si>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</si>
  <si>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</si>
  <si>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</si>
  <si>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</si>
  <si>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</si>
  <si>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</si>
  <si>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</si>
  <si>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</si>
  <si>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</si>
  <si>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</si>
  <si>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</si>
  <si>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</si>
  <si>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</si>
  <si>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</si>
  <si>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</si>
  <si>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</si>
  <si>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</si>
  <si>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</si>
  <si>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</si>
  <si>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</si>
  <si>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</si>
  <si>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</si>
  <si>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</si>
  <si>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</si>
  <si>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</si>
  <si>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</si>
  <si>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</si>
  <si>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</si>
  <si>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</si>
  <si>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</si>
  <si>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</si>
  <si>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</si>
  <si>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</si>
  <si>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</si>
  <si>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</si>
  <si>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</si>
  <si>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</si>
  <si>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</si>
  <si>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</si>
  <si>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</si>
  <si>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</si>
  <si>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</si>
  <si>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</si>
  <si>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</si>
  <si>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</si>
  <si>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</si>
  <si>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</si>
  <si>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</si>
  <si>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</si>
  <si>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</si>
  <si>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</si>
  <si>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</si>
  <si>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</si>
  <si>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</si>
  <si>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</si>
  <si>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</si>
  <si>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</si>
  <si>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</si>
  <si>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</si>
  <si>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</si>
  <si>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</si>
  <si>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</si>
  <si>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</si>
  <si>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</si>
  <si>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</si>
  <si>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</si>
  <si>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</si>
  <si>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</si>
  <si>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</si>
  <si>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</si>
  <si>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</si>
  <si>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</si>
  <si>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</si>
  <si>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</si>
  <si>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</si>
  <si>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</si>
  <si>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</si>
  <si>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</si>
  <si>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</si>
  <si>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</si>
  <si>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</si>
  <si>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</si>
  <si>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</si>
  <si>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</si>
  <si>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</si>
  <si>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</si>
  <si>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</si>
  <si>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</si>
  <si>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</si>
  <si>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</si>
  <si>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</si>
  <si>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</si>
  <si>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</si>
  <si>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</si>
  <si>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</si>
  <si>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</si>
  <si>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</si>
  <si>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</si>
  <si>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</si>
  <si>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</si>
  <si>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</si>
  <si>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</si>
  <si>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</si>
  <si>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</si>
  <si>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</si>
  <si>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</si>
  <si>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</si>
  <si>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</si>
  <si>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</si>
  <si>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</si>
  <si>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</si>
  <si>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</si>
  <si>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</si>
  <si>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</si>
  <si>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</si>
  <si>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</si>
  <si>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</si>
  <si>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</si>
  <si>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</si>
  <si>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</si>
  <si>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</si>
  <si>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</si>
  <si>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</si>
  <si>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</si>
  <si>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</si>
  <si>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</si>
  <si>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</si>
  <si>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</si>
  <si>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</si>
  <si>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</si>
  <si>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</si>
  <si>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</si>
  <si>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</si>
  <si>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</si>
  <si>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</si>
  <si>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</si>
  <si>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</si>
  <si>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</si>
  <si>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</si>
  <si>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</si>
  <si>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</si>
  <si>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</si>
  <si>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</si>
  <si>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</si>
  <si>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</si>
  <si>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</si>
  <si>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</si>
  <si>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</si>
  <si>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</si>
  <si>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</si>
  <si>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</si>
  <si>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</si>
  <si>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</si>
  <si>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</si>
  <si>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</si>
  <si>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</si>
  <si>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</si>
  <si>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</si>
  <si>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</si>
  <si>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</si>
  <si>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</si>
  <si>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</si>
  <si>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</si>
  <si>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</si>
  <si>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</si>
  <si>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</si>
  <si>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</si>
  <si>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</si>
  <si>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</si>
  <si>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</si>
  <si>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</si>
  <si>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</si>
  <si>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</si>
  <si>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</si>
  <si>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</si>
  <si>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</si>
  <si>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</si>
  <si>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</si>
  <si>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</si>
  <si>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</si>
  <si>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</si>
  <si>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</si>
  <si>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</si>
  <si>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</si>
  <si>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</si>
  <si>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</si>
  <si>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</si>
  <si>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</si>
  <si>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</si>
  <si>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</si>
  <si>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</si>
  <si>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</si>
  <si>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</si>
  <si>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</si>
  <si>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</si>
  <si>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</si>
  <si>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</si>
  <si>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</si>
  <si>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</si>
  <si>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</si>
  <si>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</si>
  <si>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</si>
  <si>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</si>
  <si>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</si>
  <si>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</si>
  <si>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</si>
  <si>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</si>
  <si>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</si>
  <si>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</si>
  <si>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</si>
  <si>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</si>
  <si>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</si>
  <si>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</si>
  <si>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</si>
  <si>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</si>
  <si>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</si>
  <si>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</si>
  <si>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</si>
  <si>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</si>
  <si>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</si>
  <si>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</si>
  <si>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</si>
  <si>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</si>
  <si>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</si>
  <si>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</si>
  <si>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</si>
  <si>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</si>
  <si>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</si>
  <si>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</si>
  <si>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</si>
  <si>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</si>
  <si>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</si>
  <si>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</si>
  <si>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</si>
  <si>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</si>
  <si>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</si>
  <si>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</si>
  <si>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</si>
  <si>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</si>
  <si>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</si>
  <si>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2/5</t>
  </si>
  <si>
    <t>classe 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</si>
</sst>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156.31763533587534</c:v>
                </c:pt>
                <c:pt idx="17">
                  <c:v>183.23613938898788</c:v>
                </c:pt>
                <c:pt idx="18">
                  <c:v>210.06205920782259</c:v>
                </c:pt>
                <c:pt idx="19">
                  <c:v>236.80889001154432</c:v>
                </c:pt>
                <c:pt idx="20">
                  <c:v>263.48682168593842</c:v>
                </c:pt>
                <c:pt idx="21">
                  <c:v>208.55295085965801</c:v>
                </c:pt>
                <c:pt idx="22">
                  <c:v>234.55138491384039</c:v>
                </c:pt>
                <c:pt idx="23">
                  <c:v>260.48403592293715</c:v>
                </c:pt>
                <c:pt idx="24">
                  <c:v>286.35837196420749</c:v>
                </c:pt>
                <c:pt idx="25">
                  <c:v>312.18040027213078</c:v>
                </c:pt>
                <c:pt idx="26">
                  <c:v>254.10050561748869</c:v>
                </c:pt>
                <c:pt idx="27">
                  <c:v>278.48936400091276</c:v>
                </c:pt>
                <c:pt idx="28">
                  <c:v>302.83030487228285</c:v>
                </c:pt>
                <c:pt idx="29">
                  <c:v>327.12771904371101</c:v>
                </c:pt>
                <c:pt idx="30">
                  <c:v>351.38529181133845</c:v>
                </c:pt>
                <c:pt idx="31">
                  <c:v>291.97612129761018</c:v>
                </c:pt>
                <c:pt idx="32">
                  <c:v>314.79730475594641</c:v>
                </c:pt>
                <c:pt idx="33">
                  <c:v>337.58182519139035</c:v>
                </c:pt>
                <c:pt idx="34">
                  <c:v>360.33250350315166</c:v>
                </c:pt>
                <c:pt idx="35">
                  <c:v>383.05177541071208</c:v>
                </c:pt>
                <c:pt idx="36">
                  <c:v>324.88660171920714</c:v>
                </c:pt>
                <c:pt idx="37">
                  <c:v>345.04466702323003</c:v>
                </c:pt>
                <c:pt idx="38">
                  <c:v>365.17687261995815</c:v>
                </c:pt>
                <c:pt idx="39">
                  <c:v>385.28484395959771</c:v>
                </c:pt>
                <c:pt idx="40">
                  <c:v>405.37002304691242</c:v>
                </c:pt>
                <c:pt idx="41">
                  <c:v>351.0123838279564</c:v>
                </c:pt>
                <c:pt idx="42">
                  <c:v>369.27485695721407</c:v>
                </c:pt>
                <c:pt idx="43">
                  <c:v>387.5176312788667</c:v>
                </c:pt>
                <c:pt idx="44">
                  <c:v>405.7417642472314</c:v>
                </c:pt>
                <c:pt idx="45">
                  <c:v>423.9482106076091</c:v>
                </c:pt>
                <c:pt idx="46">
                  <c:v>373.37184903581334</c:v>
                </c:pt>
                <c:pt idx="47">
                  <c:v>389.75013922020406</c:v>
                </c:pt>
                <c:pt idx="48">
                  <c:v>406.11349808426445</c:v>
                </c:pt>
                <c:pt idx="49">
                  <c:v>422.46261177230537</c:v>
                </c:pt>
                <c:pt idx="50">
                  <c:v>438.7981090039209</c:v>
                </c:pt>
                <c:pt idx="51">
                  <c:v>391.98236961231743</c:v>
                </c:pt>
                <c:pt idx="52">
                  <c:v>406.48522456571527</c:v>
                </c:pt>
                <c:pt idx="53">
                  <c:v>420.97690043878242</c:v>
                </c:pt>
                <c:pt idx="54">
                  <c:v>435.45783620208516</c:v>
                </c:pt>
                <c:pt idx="55">
                  <c:v>449.92843925372966</c:v>
                </c:pt>
                <c:pt idx="56">
                  <c:v>408.71542941668878</c:v>
                </c:pt>
                <c:pt idx="57">
                  <c:v>421.34833884363542</c:v>
                </c:pt>
                <c:pt idx="58">
                  <c:v>433.97309421022049</c:v>
                </c:pt>
                <c:pt idx="59">
                  <c:v>446.58996615169809</c:v>
                </c:pt>
                <c:pt idx="60">
                  <c:v>459.19920876443319</c:v>
                </c:pt>
                <c:pt idx="61">
                  <c:v>422.09119450330468</c:v>
                </c:pt>
                <c:pt idx="62">
                  <c:v>433.23068233058763</c:v>
                </c:pt>
                <c:pt idx="63">
                  <c:v>444.36402075569396</c:v>
                </c:pt>
                <c:pt idx="64">
                  <c:v>455.49138558575584</c:v>
                </c:pt>
                <c:pt idx="65">
                  <c:v>466.61294333655468</c:v>
                </c:pt>
                <c:pt idx="66">
                  <c:v>433.60189168293124</c:v>
                </c:pt>
                <c:pt idx="67">
                  <c:v>443.25095855050807</c:v>
                </c:pt>
                <c:pt idx="68">
                  <c:v>452.89552584845842</c:v>
                </c:pt>
                <c:pt idx="69">
                  <c:v>462.53570293273214</c:v>
                </c:pt>
                <c:pt idx="70">
                  <c:v>472.17159422788467</c:v>
                </c:pt>
                <c:pt idx="71">
                  <c:v>472.17159422788467</c:v>
                </c:pt>
                <c:pt idx="72">
                  <c:v>472.17159422788467</c:v>
                </c:pt>
                <c:pt idx="73">
                  <c:v>472.17159422788467</c:v>
                </c:pt>
                <c:pt idx="74">
                  <c:v>472.17159422788467</c:v>
                </c:pt>
                <c:pt idx="75">
                  <c:v>472.17159422788467</c:v>
                </c:pt>
                <c:pt idx="76">
                  <c:v>472.17159422788467</c:v>
                </c:pt>
                <c:pt idx="77">
                  <c:v>472.17159422788467</c:v>
                </c:pt>
                <c:pt idx="78">
                  <c:v>472.17159422788467</c:v>
                </c:pt>
                <c:pt idx="79">
                  <c:v>472.17159422788467</c:v>
                </c:pt>
                <c:pt idx="80">
                  <c:v>472.17159422788467</c:v>
                </c:pt>
                <c:pt idx="81">
                  <c:v>472.17159422788467</c:v>
                </c:pt>
                <c:pt idx="82">
                  <c:v>472.17159422788467</c:v>
                </c:pt>
                <c:pt idx="83">
                  <c:v>472.17159422788467</c:v>
                </c:pt>
                <c:pt idx="84">
                  <c:v>472.17159422788467</c:v>
                </c:pt>
                <c:pt idx="85">
                  <c:v>472.17159422788467</c:v>
                </c:pt>
                <c:pt idx="86">
                  <c:v>472.17159422788467</c:v>
                </c:pt>
                <c:pt idx="87">
                  <c:v>472.17159422788467</c:v>
                </c:pt>
                <c:pt idx="88">
                  <c:v>472.17159422788467</c:v>
                </c:pt>
                <c:pt idx="89">
                  <c:v>472.17159422788467</c:v>
                </c:pt>
                <c:pt idx="90">
                  <c:v>472.17159422788467</c:v>
                </c:pt>
                <c:pt idx="91">
                  <c:v>472.17159422788467</c:v>
                </c:pt>
                <c:pt idx="92">
                  <c:v>472.17159422788467</c:v>
                </c:pt>
                <c:pt idx="93">
                  <c:v>472.17159422788467</c:v>
                </c:pt>
                <c:pt idx="94">
                  <c:v>472.17159422788467</c:v>
                </c:pt>
                <c:pt idx="95">
                  <c:v>472.17159422788467</c:v>
                </c:pt>
                <c:pt idx="96">
                  <c:v>472.17159422788467</c:v>
                </c:pt>
                <c:pt idx="97">
                  <c:v>472.17159422788467</c:v>
                </c:pt>
                <c:pt idx="98">
                  <c:v>472.17159422788467</c:v>
                </c:pt>
                <c:pt idx="99">
                  <c:v>472.17159422788467</c:v>
                </c:pt>
                <c:pt idx="100">
                  <c:v>472.17159422788467</c:v>
                </c:pt>
                <c:pt idx="101">
                  <c:v>472.17159422788467</c:v>
                </c:pt>
                <c:pt idx="102">
                  <c:v>472.17159422788467</c:v>
                </c:pt>
                <c:pt idx="103">
                  <c:v>472.17159422788467</c:v>
                </c:pt>
                <c:pt idx="104">
                  <c:v>472.17159422788467</c:v>
                </c:pt>
                <c:pt idx="105">
                  <c:v>472.17159422788467</c:v>
                </c:pt>
                <c:pt idx="106">
                  <c:v>472.17159422788467</c:v>
                </c:pt>
                <c:pt idx="107">
                  <c:v>472.17159422788467</c:v>
                </c:pt>
                <c:pt idx="108">
                  <c:v>472.17159422788467</c:v>
                </c:pt>
                <c:pt idx="109">
                  <c:v>472.17159422788467</c:v>
                </c:pt>
                <c:pt idx="110">
                  <c:v>472.17159422788467</c:v>
                </c:pt>
                <c:pt idx="111">
                  <c:v>472.17159422788467</c:v>
                </c:pt>
                <c:pt idx="112">
                  <c:v>472.17159422788467</c:v>
                </c:pt>
                <c:pt idx="113">
                  <c:v>472.17159422788467</c:v>
                </c:pt>
                <c:pt idx="114">
                  <c:v>472.17159422788467</c:v>
                </c:pt>
                <c:pt idx="115">
                  <c:v>472.17159422788467</c:v>
                </c:pt>
                <c:pt idx="116">
                  <c:v>472.17159422788467</c:v>
                </c:pt>
                <c:pt idx="117">
                  <c:v>472.17159422788467</c:v>
                </c:pt>
                <c:pt idx="118">
                  <c:v>472.17159422788467</c:v>
                </c:pt>
                <c:pt idx="119">
                  <c:v>472.17159422788467</c:v>
                </c:pt>
                <c:pt idx="120">
                  <c:v>472.17159422788467</c:v>
                </c:pt>
                <c:pt idx="121">
                  <c:v>472.17159422788467</c:v>
                </c:pt>
                <c:pt idx="122">
                  <c:v>472.17159422788467</c:v>
                </c:pt>
                <c:pt idx="123">
                  <c:v>472.17159422788467</c:v>
                </c:pt>
                <c:pt idx="124">
                  <c:v>472.17159422788467</c:v>
                </c:pt>
                <c:pt idx="125">
                  <c:v>472.17159422788467</c:v>
                </c:pt>
                <c:pt idx="126">
                  <c:v>472.17159422788467</c:v>
                </c:pt>
                <c:pt idx="127">
                  <c:v>472.17159422788467</c:v>
                </c:pt>
                <c:pt idx="128">
                  <c:v>472.17159422788467</c:v>
                </c:pt>
                <c:pt idx="129">
                  <c:v>472.17159422788467</c:v>
                </c:pt>
                <c:pt idx="130">
                  <c:v>472.17159422788467</c:v>
                </c:pt>
                <c:pt idx="131">
                  <c:v>472.17159422788467</c:v>
                </c:pt>
                <c:pt idx="132">
                  <c:v>472.17159422788467</c:v>
                </c:pt>
                <c:pt idx="133">
                  <c:v>472.17159422788467</c:v>
                </c:pt>
                <c:pt idx="134">
                  <c:v>472.17159422788467</c:v>
                </c:pt>
                <c:pt idx="135">
                  <c:v>472.17159422788467</c:v>
                </c:pt>
                <c:pt idx="136">
                  <c:v>472.17159422788467</c:v>
                </c:pt>
                <c:pt idx="137">
                  <c:v>472.17159422788467</c:v>
                </c:pt>
                <c:pt idx="138">
                  <c:v>472.17159422788467</c:v>
                </c:pt>
                <c:pt idx="139">
                  <c:v>472.17159422788467</c:v>
                </c:pt>
                <c:pt idx="140">
                  <c:v>472.17159422788467</c:v>
                </c:pt>
                <c:pt idx="141">
                  <c:v>472.17159422788467</c:v>
                </c:pt>
                <c:pt idx="142">
                  <c:v>472.17159422788467</c:v>
                </c:pt>
                <c:pt idx="143">
                  <c:v>472.17159422788467</c:v>
                </c:pt>
                <c:pt idx="144">
                  <c:v>472.17159422788467</c:v>
                </c:pt>
                <c:pt idx="145">
                  <c:v>472.17159422788467</c:v>
                </c:pt>
                <c:pt idx="146">
                  <c:v>472.17159422788467</c:v>
                </c:pt>
                <c:pt idx="147">
                  <c:v>472.17159422788467</c:v>
                </c:pt>
                <c:pt idx="148">
                  <c:v>472.17159422788467</c:v>
                </c:pt>
                <c:pt idx="149">
                  <c:v>472.17159422788467</c:v>
                </c:pt>
                <c:pt idx="150">
                  <c:v>472.17159422788467</c:v>
                </c:pt>
                <c:pt idx="151">
                  <c:v>472.17159422788467</c:v>
                </c:pt>
                <c:pt idx="152">
                  <c:v>472.17159422788467</c:v>
                </c:pt>
                <c:pt idx="153">
                  <c:v>472.17159422788467</c:v>
                </c:pt>
                <c:pt idx="154">
                  <c:v>472.17159422788467</c:v>
                </c:pt>
                <c:pt idx="155">
                  <c:v>472.17159422788467</c:v>
                </c:pt>
                <c:pt idx="156">
                  <c:v>472.17159422788467</c:v>
                </c:pt>
                <c:pt idx="157">
                  <c:v>472.17159422788467</c:v>
                </c:pt>
                <c:pt idx="158">
                  <c:v>472.17159422788467</c:v>
                </c:pt>
                <c:pt idx="159">
                  <c:v>472.17159422788467</c:v>
                </c:pt>
                <c:pt idx="160">
                  <c:v>472.17159422788467</c:v>
                </c:pt>
                <c:pt idx="161">
                  <c:v>472.17159422788467</c:v>
                </c:pt>
                <c:pt idx="162">
                  <c:v>472.17159422788467</c:v>
                </c:pt>
                <c:pt idx="163">
                  <c:v>472.17159422788467</c:v>
                </c:pt>
                <c:pt idx="164">
                  <c:v>472.17159422788467</c:v>
                </c:pt>
                <c:pt idx="165">
                  <c:v>472.17159422788467</c:v>
                </c:pt>
                <c:pt idx="166">
                  <c:v>472.17159422788467</c:v>
                </c:pt>
                <c:pt idx="167">
                  <c:v>472.17159422788467</c:v>
                </c:pt>
                <c:pt idx="168">
                  <c:v>472.17159422788467</c:v>
                </c:pt>
                <c:pt idx="169">
                  <c:v>472.17159422788467</c:v>
                </c:pt>
                <c:pt idx="170">
                  <c:v>472.17159422788467</c:v>
                </c:pt>
                <c:pt idx="171">
                  <c:v>472.17159422788467</c:v>
                </c:pt>
                <c:pt idx="172">
                  <c:v>472.17159422788467</c:v>
                </c:pt>
                <c:pt idx="173">
                  <c:v>472.17159422788467</c:v>
                </c:pt>
                <c:pt idx="174">
                  <c:v>472.17159422788467</c:v>
                </c:pt>
                <c:pt idx="175">
                  <c:v>472.17159422788467</c:v>
                </c:pt>
                <c:pt idx="176">
                  <c:v>472.17159422788467</c:v>
                </c:pt>
                <c:pt idx="177">
                  <c:v>472.17159422788467</c:v>
                </c:pt>
                <c:pt idx="178">
                  <c:v>472.17159422788467</c:v>
                </c:pt>
                <c:pt idx="179">
                  <c:v>472.17159422788467</c:v>
                </c:pt>
                <c:pt idx="180">
                  <c:v>472.17159422788467</c:v>
                </c:pt>
                <c:pt idx="181">
                  <c:v>472.17159422788467</c:v>
                </c:pt>
                <c:pt idx="182">
                  <c:v>472.17159422788467</c:v>
                </c:pt>
                <c:pt idx="183">
                  <c:v>472.17159422788467</c:v>
                </c:pt>
                <c:pt idx="184">
                  <c:v>472.17159422788467</c:v>
                </c:pt>
                <c:pt idx="185">
                  <c:v>472.17159422788467</c:v>
                </c:pt>
                <c:pt idx="186">
                  <c:v>472.17159422788467</c:v>
                </c:pt>
                <c:pt idx="187">
                  <c:v>472.17159422788467</c:v>
                </c:pt>
                <c:pt idx="188">
                  <c:v>472.17159422788467</c:v>
                </c:pt>
                <c:pt idx="189">
                  <c:v>472.17159422788467</c:v>
                </c:pt>
                <c:pt idx="190">
                  <c:v>472.17159422788467</c:v>
                </c:pt>
                <c:pt idx="191">
                  <c:v>472.17159422788467</c:v>
                </c:pt>
                <c:pt idx="192">
                  <c:v>472.17159422788467</c:v>
                </c:pt>
                <c:pt idx="193">
                  <c:v>472.17159422788467</c:v>
                </c:pt>
                <c:pt idx="194">
                  <c:v>472.17159422788467</c:v>
                </c:pt>
                <c:pt idx="195">
                  <c:v>472.17159422788467</c:v>
                </c:pt>
                <c:pt idx="196">
                  <c:v>472.17159422788467</c:v>
                </c:pt>
                <c:pt idx="197">
                  <c:v>472.17159422788467</c:v>
                </c:pt>
                <c:pt idx="198">
                  <c:v>472.17159422788467</c:v>
                </c:pt>
                <c:pt idx="199">
                  <c:v>472.17159422788467</c:v>
                </c:pt>
                <c:pt idx="200">
                  <c:v>472.17159422788467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1.5577071624658945</c:v>
                </c:pt>
                <c:pt idx="2">
                  <c:v>1.9288873855283348</c:v>
                </c:pt>
                <c:pt idx="3">
                  <c:v>2.3888638537271816</c:v>
                </c:pt>
                <c:pt idx="4">
                  <c:v>2.9589580434456426</c:v>
                </c:pt>
                <c:pt idx="5">
                  <c:v>3.6656289015262886</c:v>
                </c:pt>
                <c:pt idx="6">
                  <c:v>4.5417147381858864</c:v>
                </c:pt>
                <c:pt idx="7">
                  <c:v>5.6279762223228254</c:v>
                </c:pt>
                <c:pt idx="8">
                  <c:v>6.9750136829337457</c:v>
                </c:pt>
                <c:pt idx="9">
                  <c:v>8.6456497621007298</c:v>
                </c:pt>
                <c:pt idx="10">
                  <c:v>10.71789066515678</c:v>
                </c:pt>
                <c:pt idx="11">
                  <c:v>13.288606879048153</c:v>
                </c:pt>
                <c:pt idx="12">
                  <c:v>16.478108609082572</c:v>
                </c:pt>
                <c:pt idx="13">
                  <c:v>20.435833971579299</c:v>
                </c:pt>
                <c:pt idx="14">
                  <c:v>25.347421235796446</c:v>
                </c:pt>
                <c:pt idx="15">
                  <c:v>31.443502699042707</c:v>
                </c:pt>
                <c:pt idx="16">
                  <c:v>53.070542423821507</c:v>
                </c:pt>
                <c:pt idx="17">
                  <c:v>74.459476574772168</c:v>
                </c:pt>
                <c:pt idx="18">
                  <c:v>95.690018529651979</c:v>
                </c:pt>
                <c:pt idx="19">
                  <c:v>116.8026363404107</c:v>
                </c:pt>
                <c:pt idx="20">
                  <c:v>137.82176072987758</c:v>
                </c:pt>
                <c:pt idx="21">
                  <c:v>159.80899190897142</c:v>
                </c:pt>
                <c:pt idx="22">
                  <c:v>184.84999759778714</c:v>
                </c:pt>
                <c:pt idx="23">
                  <c:v>209.81168136517772</c:v>
                </c:pt>
                <c:pt idx="24">
                  <c:v>234.70481236991114</c:v>
                </c:pt>
                <c:pt idx="25">
                  <c:v>259.53768401264</c:v>
                </c:pt>
                <c:pt idx="26">
                  <c:v>220.60658837873268</c:v>
                </c:pt>
                <c:pt idx="27">
                  <c:v>246.92139570839652</c:v>
                </c:pt>
                <c:pt idx="28">
                  <c:v>273.17251486753031</c:v>
                </c:pt>
                <c:pt idx="29">
                  <c:v>299.36692413277325</c:v>
                </c:pt>
                <c:pt idx="30">
                  <c:v>325.51028017954701</c:v>
                </c:pt>
                <c:pt idx="31">
                  <c:v>286.99829469188228</c:v>
                </c:pt>
                <c:pt idx="32">
                  <c:v>313.37097388025114</c:v>
                </c:pt>
                <c:pt idx="33">
                  <c:v>339.69444079385897</c:v>
                </c:pt>
                <c:pt idx="34">
                  <c:v>365.97304198589865</c:v>
                </c:pt>
                <c:pt idx="35">
                  <c:v>392.21044902508112</c:v>
                </c:pt>
                <c:pt idx="36">
                  <c:v>353.24970174806907</c:v>
                </c:pt>
                <c:pt idx="37">
                  <c:v>378.8917075093982</c:v>
                </c:pt>
                <c:pt idx="38">
                  <c:v>404.49595962425639</c:v>
                </c:pt>
                <c:pt idx="39">
                  <c:v>430.065181562715</c:v>
                </c:pt>
                <c:pt idx="40">
                  <c:v>455.60174675120021</c:v>
                </c:pt>
                <c:pt idx="41">
                  <c:v>415.95515349696331</c:v>
                </c:pt>
                <c:pt idx="42">
                  <c:v>440.69223402870369</c:v>
                </c:pt>
                <c:pt idx="43">
                  <c:v>465.39955864921495</c:v>
                </c:pt>
                <c:pt idx="44">
                  <c:v>490.07892759575094</c:v>
                </c:pt>
                <c:pt idx="45">
                  <c:v>514.7319451649156</c:v>
                </c:pt>
                <c:pt idx="46">
                  <c:v>473.76503693403919</c:v>
                </c:pt>
                <c:pt idx="47">
                  <c:v>497.00881885194661</c:v>
                </c:pt>
                <c:pt idx="48">
                  <c:v>520.22958404364772</c:v>
                </c:pt>
                <c:pt idx="49">
                  <c:v>543.42850336833214</c:v>
                </c:pt>
                <c:pt idx="50">
                  <c:v>566.60663966082336</c:v>
                </c:pt>
                <c:pt idx="51">
                  <c:v>524.50467776006587</c:v>
                </c:pt>
                <c:pt idx="52">
                  <c:v>546.47942376933327</c:v>
                </c:pt>
                <c:pt idx="53">
                  <c:v>568.43563655834566</c:v>
                </c:pt>
                <c:pt idx="54">
                  <c:v>590.3741320104258</c:v>
                </c:pt>
                <c:pt idx="55">
                  <c:v>612.29566048724121</c:v>
                </c:pt>
                <c:pt idx="56">
                  <c:v>569.04527483531945</c:v>
                </c:pt>
                <c:pt idx="57">
                  <c:v>589.76496179794242</c:v>
                </c:pt>
                <c:pt idx="58">
                  <c:v>610.46949724025615</c:v>
                </c:pt>
                <c:pt idx="59">
                  <c:v>631.15946687120459</c:v>
                </c:pt>
                <c:pt idx="60">
                  <c:v>651.83541490640221</c:v>
                </c:pt>
                <c:pt idx="61">
                  <c:v>616.55626932489611</c:v>
                </c:pt>
                <c:pt idx="62">
                  <c:v>636.02563791945056</c:v>
                </c:pt>
                <c:pt idx="63">
                  <c:v>655.48269480622912</c:v>
                </c:pt>
                <c:pt idx="64">
                  <c:v>674.9278565461301</c:v>
                </c:pt>
                <c:pt idx="65">
                  <c:v>694.36151376369207</c:v>
                </c:pt>
                <c:pt idx="66">
                  <c:v>661.96571726881348</c:v>
                </c:pt>
                <c:pt idx="67">
                  <c:v>680.19225892067016</c:v>
                </c:pt>
                <c:pt idx="68">
                  <c:v>698.40877871061059</c:v>
                </c:pt>
                <c:pt idx="69">
                  <c:v>716.61557460507174</c:v>
                </c:pt>
                <c:pt idx="70">
                  <c:v>734.81292821003501</c:v>
                </c:pt>
                <c:pt idx="71">
                  <c:v>703.2648631558427</c:v>
                </c:pt>
                <c:pt idx="72">
                  <c:v>720.25579197078662</c:v>
                </c:pt>
                <c:pt idx="73">
                  <c:v>737.23854309381511</c:v>
                </c:pt>
                <c:pt idx="74">
                  <c:v>754.21333126486149</c:v>
                </c:pt>
                <c:pt idx="75">
                  <c:v>771.18036077877571</c:v>
                </c:pt>
                <c:pt idx="76">
                  <c:v>739.66399548575589</c:v>
                </c:pt>
                <c:pt idx="77">
                  <c:v>755.62754398259005</c:v>
                </c:pt>
                <c:pt idx="78">
                  <c:v>771.58424472637807</c:v>
                </c:pt>
                <c:pt idx="79">
                  <c:v>787.53425915409514</c:v>
                </c:pt>
                <c:pt idx="80">
                  <c:v>803.47774163645965</c:v>
                </c:pt>
                <c:pt idx="81">
                  <c:v>757.04170294141477</c:v>
                </c:pt>
                <c:pt idx="82">
                  <c:v>757.04170294141477</c:v>
                </c:pt>
                <c:pt idx="83">
                  <c:v>757.04170294141477</c:v>
                </c:pt>
                <c:pt idx="84">
                  <c:v>757.04170294141477</c:v>
                </c:pt>
                <c:pt idx="85">
                  <c:v>757.04170294141477</c:v>
                </c:pt>
                <c:pt idx="86">
                  <c:v>757.04170294141477</c:v>
                </c:pt>
                <c:pt idx="87">
                  <c:v>757.04170294141477</c:v>
                </c:pt>
                <c:pt idx="88">
                  <c:v>757.04170294141477</c:v>
                </c:pt>
                <c:pt idx="89">
                  <c:v>757.04170294141477</c:v>
                </c:pt>
                <c:pt idx="90">
                  <c:v>757.04170294141477</c:v>
                </c:pt>
                <c:pt idx="91">
                  <c:v>757.04170294141477</c:v>
                </c:pt>
                <c:pt idx="92">
                  <c:v>757.04170294141477</c:v>
                </c:pt>
                <c:pt idx="93">
                  <c:v>757.04170294141477</c:v>
                </c:pt>
                <c:pt idx="94">
                  <c:v>757.04170294141477</c:v>
                </c:pt>
                <c:pt idx="95">
                  <c:v>757.04170294141477</c:v>
                </c:pt>
                <c:pt idx="96">
                  <c:v>757.04170294141477</c:v>
                </c:pt>
                <c:pt idx="97">
                  <c:v>757.04170294141477</c:v>
                </c:pt>
                <c:pt idx="98">
                  <c:v>757.04170294141477</c:v>
                </c:pt>
                <c:pt idx="99">
                  <c:v>757.04170294141477</c:v>
                </c:pt>
                <c:pt idx="100">
                  <c:v>757.04170294141477</c:v>
                </c:pt>
                <c:pt idx="101">
                  <c:v>757.04170294141477</c:v>
                </c:pt>
                <c:pt idx="102">
                  <c:v>757.04170294141477</c:v>
                </c:pt>
                <c:pt idx="103">
                  <c:v>757.04170294141477</c:v>
                </c:pt>
                <c:pt idx="104">
                  <c:v>757.04170294141477</c:v>
                </c:pt>
                <c:pt idx="105">
                  <c:v>757.04170294141477</c:v>
                </c:pt>
                <c:pt idx="106">
                  <c:v>757.04170294141477</c:v>
                </c:pt>
                <c:pt idx="107">
                  <c:v>757.04170294141477</c:v>
                </c:pt>
                <c:pt idx="108">
                  <c:v>757.04170294141477</c:v>
                </c:pt>
                <c:pt idx="109">
                  <c:v>757.04170294141477</c:v>
                </c:pt>
                <c:pt idx="110">
                  <c:v>757.04170294141477</c:v>
                </c:pt>
                <c:pt idx="111">
                  <c:v>757.04170294141477</c:v>
                </c:pt>
                <c:pt idx="112">
                  <c:v>757.04170294141477</c:v>
                </c:pt>
                <c:pt idx="113">
                  <c:v>757.04170294141477</c:v>
                </c:pt>
                <c:pt idx="114">
                  <c:v>757.04170294141477</c:v>
                </c:pt>
                <c:pt idx="115">
                  <c:v>757.04170294141477</c:v>
                </c:pt>
                <c:pt idx="116">
                  <c:v>757.04170294141477</c:v>
                </c:pt>
                <c:pt idx="117">
                  <c:v>757.04170294141477</c:v>
                </c:pt>
                <c:pt idx="118">
                  <c:v>757.04170294141477</c:v>
                </c:pt>
                <c:pt idx="119">
                  <c:v>757.04170294141477</c:v>
                </c:pt>
                <c:pt idx="120">
                  <c:v>757.04170294141477</c:v>
                </c:pt>
                <c:pt idx="121">
                  <c:v>757.04170294141477</c:v>
                </c:pt>
                <c:pt idx="122">
                  <c:v>757.04170294141477</c:v>
                </c:pt>
                <c:pt idx="123">
                  <c:v>757.04170294141477</c:v>
                </c:pt>
                <c:pt idx="124">
                  <c:v>757.04170294141477</c:v>
                </c:pt>
                <c:pt idx="125">
                  <c:v>757.04170294141477</c:v>
                </c:pt>
                <c:pt idx="126">
                  <c:v>757.04170294141477</c:v>
                </c:pt>
                <c:pt idx="127">
                  <c:v>757.04170294141477</c:v>
                </c:pt>
                <c:pt idx="128">
                  <c:v>757.04170294141477</c:v>
                </c:pt>
                <c:pt idx="129">
                  <c:v>757.04170294141477</c:v>
                </c:pt>
                <c:pt idx="130">
                  <c:v>757.04170294141477</c:v>
                </c:pt>
                <c:pt idx="131">
                  <c:v>757.04170294141477</c:v>
                </c:pt>
                <c:pt idx="132">
                  <c:v>757.04170294141477</c:v>
                </c:pt>
                <c:pt idx="133">
                  <c:v>757.04170294141477</c:v>
                </c:pt>
                <c:pt idx="134">
                  <c:v>757.04170294141477</c:v>
                </c:pt>
                <c:pt idx="135">
                  <c:v>757.04170294141477</c:v>
                </c:pt>
                <c:pt idx="136">
                  <c:v>757.04170294141477</c:v>
                </c:pt>
                <c:pt idx="137">
                  <c:v>757.04170294141477</c:v>
                </c:pt>
                <c:pt idx="138">
                  <c:v>757.04170294141477</c:v>
                </c:pt>
                <c:pt idx="139">
                  <c:v>757.04170294141477</c:v>
                </c:pt>
                <c:pt idx="140">
                  <c:v>757.04170294141477</c:v>
                </c:pt>
                <c:pt idx="141">
                  <c:v>757.04170294141477</c:v>
                </c:pt>
                <c:pt idx="142">
                  <c:v>757.04170294141477</c:v>
                </c:pt>
                <c:pt idx="143">
                  <c:v>757.04170294141477</c:v>
                </c:pt>
                <c:pt idx="144">
                  <c:v>757.04170294141477</c:v>
                </c:pt>
                <c:pt idx="145">
                  <c:v>757.04170294141477</c:v>
                </c:pt>
                <c:pt idx="146">
                  <c:v>757.04170294141477</c:v>
                </c:pt>
                <c:pt idx="147">
                  <c:v>757.04170294141477</c:v>
                </c:pt>
                <c:pt idx="148">
                  <c:v>757.04170294141477</c:v>
                </c:pt>
                <c:pt idx="149">
                  <c:v>757.04170294141477</c:v>
                </c:pt>
                <c:pt idx="150">
                  <c:v>757.04170294141477</c:v>
                </c:pt>
                <c:pt idx="151">
                  <c:v>757.04170294141477</c:v>
                </c:pt>
                <c:pt idx="152">
                  <c:v>757.04170294141477</c:v>
                </c:pt>
                <c:pt idx="153">
                  <c:v>757.04170294141477</c:v>
                </c:pt>
                <c:pt idx="154">
                  <c:v>757.04170294141477</c:v>
                </c:pt>
                <c:pt idx="155">
                  <c:v>757.04170294141477</c:v>
                </c:pt>
                <c:pt idx="156">
                  <c:v>757.04170294141477</c:v>
                </c:pt>
                <c:pt idx="157">
                  <c:v>757.04170294141477</c:v>
                </c:pt>
                <c:pt idx="158">
                  <c:v>757.04170294141477</c:v>
                </c:pt>
                <c:pt idx="159">
                  <c:v>757.04170294141477</c:v>
                </c:pt>
                <c:pt idx="160">
                  <c:v>757.04170294141477</c:v>
                </c:pt>
                <c:pt idx="161">
                  <c:v>757.04170294141477</c:v>
                </c:pt>
                <c:pt idx="162">
                  <c:v>757.04170294141477</c:v>
                </c:pt>
                <c:pt idx="163">
                  <c:v>757.04170294141477</c:v>
                </c:pt>
                <c:pt idx="164">
                  <c:v>757.04170294141477</c:v>
                </c:pt>
                <c:pt idx="165">
                  <c:v>757.04170294141477</c:v>
                </c:pt>
                <c:pt idx="166">
                  <c:v>757.04170294141477</c:v>
                </c:pt>
                <c:pt idx="167">
                  <c:v>757.04170294141477</c:v>
                </c:pt>
                <c:pt idx="168">
                  <c:v>757.04170294141477</c:v>
                </c:pt>
                <c:pt idx="169">
                  <c:v>757.04170294141477</c:v>
                </c:pt>
                <c:pt idx="170">
                  <c:v>757.04170294141477</c:v>
                </c:pt>
                <c:pt idx="171">
                  <c:v>757.04170294141477</c:v>
                </c:pt>
                <c:pt idx="172">
                  <c:v>757.04170294141477</c:v>
                </c:pt>
                <c:pt idx="173">
                  <c:v>757.04170294141477</c:v>
                </c:pt>
                <c:pt idx="174">
                  <c:v>757.04170294141477</c:v>
                </c:pt>
                <c:pt idx="175">
                  <c:v>757.04170294141477</c:v>
                </c:pt>
                <c:pt idx="176">
                  <c:v>757.04170294141477</c:v>
                </c:pt>
                <c:pt idx="177">
                  <c:v>757.04170294141477</c:v>
                </c:pt>
                <c:pt idx="178">
                  <c:v>757.04170294141477</c:v>
                </c:pt>
                <c:pt idx="179">
                  <c:v>757.04170294141477</c:v>
                </c:pt>
                <c:pt idx="180">
                  <c:v>757.04170294141477</c:v>
                </c:pt>
                <c:pt idx="181">
                  <c:v>757.04170294141477</c:v>
                </c:pt>
                <c:pt idx="182">
                  <c:v>757.04170294141477</c:v>
                </c:pt>
                <c:pt idx="183">
                  <c:v>757.04170294141477</c:v>
                </c:pt>
                <c:pt idx="184">
                  <c:v>757.04170294141477</c:v>
                </c:pt>
                <c:pt idx="185">
                  <c:v>757.04170294141477</c:v>
                </c:pt>
                <c:pt idx="186">
                  <c:v>757.04170294141477</c:v>
                </c:pt>
                <c:pt idx="187">
                  <c:v>757.04170294141477</c:v>
                </c:pt>
                <c:pt idx="188">
                  <c:v>757.04170294141477</c:v>
                </c:pt>
                <c:pt idx="189">
                  <c:v>757.04170294141477</c:v>
                </c:pt>
                <c:pt idx="190">
                  <c:v>757.04170294141477</c:v>
                </c:pt>
                <c:pt idx="191">
                  <c:v>757.04170294141477</c:v>
                </c:pt>
                <c:pt idx="192">
                  <c:v>757.04170294141477</c:v>
                </c:pt>
                <c:pt idx="193">
                  <c:v>757.04170294141477</c:v>
                </c:pt>
                <c:pt idx="194">
                  <c:v>757.04170294141477</c:v>
                </c:pt>
                <c:pt idx="195">
                  <c:v>757.04170294141477</c:v>
                </c:pt>
                <c:pt idx="196">
                  <c:v>757.04170294141477</c:v>
                </c:pt>
                <c:pt idx="197">
                  <c:v>757.04170294141477</c:v>
                </c:pt>
                <c:pt idx="198">
                  <c:v>757.04170294141477</c:v>
                </c:pt>
                <c:pt idx="199">
                  <c:v>757.04170294141477</c:v>
                </c:pt>
                <c:pt idx="200">
                  <c:v>757.04170294141477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548.96387316130563</c:v>
                </c:pt>
                <c:pt idx="82">
                  <c:v>548.96387316130563</c:v>
                </c:pt>
                <c:pt idx="83">
                  <c:v>548.96387316130563</c:v>
                </c:pt>
                <c:pt idx="84">
                  <c:v>548.96387316130563</c:v>
                </c:pt>
                <c:pt idx="85">
                  <c:v>548.96387316130563</c:v>
                </c:pt>
                <c:pt idx="86">
                  <c:v>548.96387316130563</c:v>
                </c:pt>
                <c:pt idx="87">
                  <c:v>548.96387316130563</c:v>
                </c:pt>
                <c:pt idx="88">
                  <c:v>548.96387316130563</c:v>
                </c:pt>
                <c:pt idx="89">
                  <c:v>548.96387316130563</c:v>
                </c:pt>
                <c:pt idx="90">
                  <c:v>548.96387316130563</c:v>
                </c:pt>
                <c:pt idx="91">
                  <c:v>548.96387316130563</c:v>
                </c:pt>
                <c:pt idx="92">
                  <c:v>548.96387316130563</c:v>
                </c:pt>
                <c:pt idx="93">
                  <c:v>548.96387316130563</c:v>
                </c:pt>
                <c:pt idx="94">
                  <c:v>548.96387316130563</c:v>
                </c:pt>
                <c:pt idx="95">
                  <c:v>548.96387316130563</c:v>
                </c:pt>
                <c:pt idx="96">
                  <c:v>548.96387316130563</c:v>
                </c:pt>
                <c:pt idx="97">
                  <c:v>548.96387316130563</c:v>
                </c:pt>
                <c:pt idx="98">
                  <c:v>548.96387316130563</c:v>
                </c:pt>
                <c:pt idx="99">
                  <c:v>548.96387316130563</c:v>
                </c:pt>
                <c:pt idx="100">
                  <c:v>548.96387316130563</c:v>
                </c:pt>
                <c:pt idx="101">
                  <c:v>548.96387316130563</c:v>
                </c:pt>
                <c:pt idx="102">
                  <c:v>548.96387316130563</c:v>
                </c:pt>
                <c:pt idx="103">
                  <c:v>548.96387316130563</c:v>
                </c:pt>
                <c:pt idx="104">
                  <c:v>548.96387316130563</c:v>
                </c:pt>
                <c:pt idx="105">
                  <c:v>548.96387316130563</c:v>
                </c:pt>
                <c:pt idx="106">
                  <c:v>548.96387316130563</c:v>
                </c:pt>
                <c:pt idx="107">
                  <c:v>548.96387316130563</c:v>
                </c:pt>
                <c:pt idx="108">
                  <c:v>548.96387316130563</c:v>
                </c:pt>
                <c:pt idx="109">
                  <c:v>548.96387316130563</c:v>
                </c:pt>
                <c:pt idx="110">
                  <c:v>548.96387316130563</c:v>
                </c:pt>
                <c:pt idx="111">
                  <c:v>548.96387316130563</c:v>
                </c:pt>
                <c:pt idx="112">
                  <c:v>548.96387316130563</c:v>
                </c:pt>
                <c:pt idx="113">
                  <c:v>548.96387316130563</c:v>
                </c:pt>
                <c:pt idx="114">
                  <c:v>548.96387316130563</c:v>
                </c:pt>
                <c:pt idx="115">
                  <c:v>548.96387316130563</c:v>
                </c:pt>
                <c:pt idx="116">
                  <c:v>548.96387316130563</c:v>
                </c:pt>
                <c:pt idx="117">
                  <c:v>548.96387316130563</c:v>
                </c:pt>
                <c:pt idx="118">
                  <c:v>548.96387316130563</c:v>
                </c:pt>
                <c:pt idx="119">
                  <c:v>548.96387316130563</c:v>
                </c:pt>
                <c:pt idx="120">
                  <c:v>548.96387316130563</c:v>
                </c:pt>
                <c:pt idx="121">
                  <c:v>548.96387316130563</c:v>
                </c:pt>
                <c:pt idx="122">
                  <c:v>548.96387316130563</c:v>
                </c:pt>
                <c:pt idx="123">
                  <c:v>548.96387316130563</c:v>
                </c:pt>
                <c:pt idx="124">
                  <c:v>548.96387316130563</c:v>
                </c:pt>
                <c:pt idx="125">
                  <c:v>548.96387316130563</c:v>
                </c:pt>
                <c:pt idx="126">
                  <c:v>548.96387316130563</c:v>
                </c:pt>
                <c:pt idx="127">
                  <c:v>548.96387316130563</c:v>
                </c:pt>
                <c:pt idx="128">
                  <c:v>548.96387316130563</c:v>
                </c:pt>
                <c:pt idx="129">
                  <c:v>548.96387316130563</c:v>
                </c:pt>
                <c:pt idx="130">
                  <c:v>548.96387316130563</c:v>
                </c:pt>
                <c:pt idx="131">
                  <c:v>548.96387316130563</c:v>
                </c:pt>
                <c:pt idx="132">
                  <c:v>548.96387316130563</c:v>
                </c:pt>
                <c:pt idx="133">
                  <c:v>548.96387316130563</c:v>
                </c:pt>
                <c:pt idx="134">
                  <c:v>548.96387316130563</c:v>
                </c:pt>
                <c:pt idx="135">
                  <c:v>548.96387316130563</c:v>
                </c:pt>
                <c:pt idx="136">
                  <c:v>548.96387316130563</c:v>
                </c:pt>
                <c:pt idx="137">
                  <c:v>548.96387316130563</c:v>
                </c:pt>
                <c:pt idx="138">
                  <c:v>548.96387316130563</c:v>
                </c:pt>
                <c:pt idx="139">
                  <c:v>548.96387316130563</c:v>
                </c:pt>
                <c:pt idx="140">
                  <c:v>548.96387316130563</c:v>
                </c:pt>
                <c:pt idx="141">
                  <c:v>548.96387316130563</c:v>
                </c:pt>
                <c:pt idx="142">
                  <c:v>548.96387316130563</c:v>
                </c:pt>
                <c:pt idx="143">
                  <c:v>548.96387316130563</c:v>
                </c:pt>
                <c:pt idx="144">
                  <c:v>548.96387316130563</c:v>
                </c:pt>
                <c:pt idx="145">
                  <c:v>548.96387316130563</c:v>
                </c:pt>
                <c:pt idx="146">
                  <c:v>548.96387316130563</c:v>
                </c:pt>
                <c:pt idx="147">
                  <c:v>548.96387316130563</c:v>
                </c:pt>
                <c:pt idx="148">
                  <c:v>548.96387316130563</c:v>
                </c:pt>
                <c:pt idx="149">
                  <c:v>548.96387316130563</c:v>
                </c:pt>
                <c:pt idx="150">
                  <c:v>548.96387316130563</c:v>
                </c:pt>
                <c:pt idx="151">
                  <c:v>548.96387316130563</c:v>
                </c:pt>
                <c:pt idx="152">
                  <c:v>548.96387316130563</c:v>
                </c:pt>
                <c:pt idx="153">
                  <c:v>548.96387316130563</c:v>
                </c:pt>
                <c:pt idx="154">
                  <c:v>548.96387316130563</c:v>
                </c:pt>
                <c:pt idx="155">
                  <c:v>548.96387316130563</c:v>
                </c:pt>
                <c:pt idx="156">
                  <c:v>548.96387316130563</c:v>
                </c:pt>
                <c:pt idx="157">
                  <c:v>548.96387316130563</c:v>
                </c:pt>
                <c:pt idx="158">
                  <c:v>548.96387316130563</c:v>
                </c:pt>
                <c:pt idx="159">
                  <c:v>548.96387316130563</c:v>
                </c:pt>
                <c:pt idx="160">
                  <c:v>548.96387316130563</c:v>
                </c:pt>
                <c:pt idx="161">
                  <c:v>548.96387316130563</c:v>
                </c:pt>
                <c:pt idx="162">
                  <c:v>548.96387316130563</c:v>
                </c:pt>
                <c:pt idx="163">
                  <c:v>548.96387316130563</c:v>
                </c:pt>
                <c:pt idx="164">
                  <c:v>548.96387316130563</c:v>
                </c:pt>
                <c:pt idx="165">
                  <c:v>548.96387316130563</c:v>
                </c:pt>
                <c:pt idx="166">
                  <c:v>548.96387316130563</c:v>
                </c:pt>
                <c:pt idx="167">
                  <c:v>548.96387316130563</c:v>
                </c:pt>
                <c:pt idx="168">
                  <c:v>548.96387316130563</c:v>
                </c:pt>
                <c:pt idx="169">
                  <c:v>548.96387316130563</c:v>
                </c:pt>
                <c:pt idx="170">
                  <c:v>548.96387316130563</c:v>
                </c:pt>
                <c:pt idx="171">
                  <c:v>548.96387316130563</c:v>
                </c:pt>
                <c:pt idx="172">
                  <c:v>548.96387316130563</c:v>
                </c:pt>
                <c:pt idx="173">
                  <c:v>548.96387316130563</c:v>
                </c:pt>
                <c:pt idx="174">
                  <c:v>548.96387316130563</c:v>
                </c:pt>
                <c:pt idx="175">
                  <c:v>548.96387316130563</c:v>
                </c:pt>
                <c:pt idx="176">
                  <c:v>548.96387316130563</c:v>
                </c:pt>
                <c:pt idx="177">
                  <c:v>548.96387316130563</c:v>
                </c:pt>
                <c:pt idx="178">
                  <c:v>548.96387316130563</c:v>
                </c:pt>
                <c:pt idx="179">
                  <c:v>548.96387316130563</c:v>
                </c:pt>
                <c:pt idx="180">
                  <c:v>548.96387316130563</c:v>
                </c:pt>
                <c:pt idx="181">
                  <c:v>548.96387316130563</c:v>
                </c:pt>
                <c:pt idx="182">
                  <c:v>548.96387316130563</c:v>
                </c:pt>
                <c:pt idx="183">
                  <c:v>548.96387316130563</c:v>
                </c:pt>
                <c:pt idx="184">
                  <c:v>548.96387316130563</c:v>
                </c:pt>
                <c:pt idx="185">
                  <c:v>548.96387316130563</c:v>
                </c:pt>
                <c:pt idx="186">
                  <c:v>548.96387316130563</c:v>
                </c:pt>
                <c:pt idx="187">
                  <c:v>548.96387316130563</c:v>
                </c:pt>
                <c:pt idx="188">
                  <c:v>548.96387316130563</c:v>
                </c:pt>
                <c:pt idx="189">
                  <c:v>548.96387316130563</c:v>
                </c:pt>
                <c:pt idx="190">
                  <c:v>548.96387316130563</c:v>
                </c:pt>
                <c:pt idx="191">
                  <c:v>548.96387316130563</c:v>
                </c:pt>
                <c:pt idx="192">
                  <c:v>548.96387316130563</c:v>
                </c:pt>
                <c:pt idx="193">
                  <c:v>548.96387316130563</c:v>
                </c:pt>
                <c:pt idx="194">
                  <c:v>548.96387316130563</c:v>
                </c:pt>
                <c:pt idx="195">
                  <c:v>548.96387316130563</c:v>
                </c:pt>
                <c:pt idx="196">
                  <c:v>548.96387316130563</c:v>
                </c:pt>
                <c:pt idx="197">
                  <c:v>548.96387316130563</c:v>
                </c:pt>
                <c:pt idx="198">
                  <c:v>548.96387316130563</c:v>
                </c:pt>
                <c:pt idx="199">
                  <c:v>548.96387316130563</c:v>
                </c:pt>
                <c:pt idx="200">
                  <c:v>548.96387316130563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3.1070732524005358</c:v>
                </c:pt>
                <c:pt idx="2">
                  <c:v>3.9188517152693092</c:v>
                </c:pt>
                <c:pt idx="3">
                  <c:v>4.9435434679155108</c:v>
                </c:pt>
                <c:pt idx="4">
                  <c:v>6.2371942955058799</c:v>
                </c:pt>
                <c:pt idx="5">
                  <c:v>7.8706529792516697</c:v>
                </c:pt>
                <c:pt idx="6">
                  <c:v>9.9334933415181794</c:v>
                </c:pt>
                <c:pt idx="7">
                  <c:v>12.538978421483094</c:v>
                </c:pt>
                <c:pt idx="8">
                  <c:v>15.830344414192332</c:v>
                </c:pt>
                <c:pt idx="9">
                  <c:v>19.988756146300936</c:v>
                </c:pt>
                <c:pt idx="10">
                  <c:v>25.243379843811024</c:v>
                </c:pt>
                <c:pt idx="11">
                  <c:v>31.884138091095355</c:v>
                </c:pt>
                <c:pt idx="12">
                  <c:v>40.277862935897133</c:v>
                </c:pt>
                <c:pt idx="13">
                  <c:v>50.888754624871218</c:v>
                </c:pt>
                <c:pt idx="14">
                  <c:v>64.30429632325378</c:v>
                </c:pt>
                <c:pt idx="15">
                  <c:v>81.26808316628383</c:v>
                </c:pt>
                <c:pt idx="16">
                  <c:v>73.994272320757076</c:v>
                </c:pt>
                <c:pt idx="17">
                  <c:v>98.745953295523961</c:v>
                </c:pt>
                <c:pt idx="18">
                  <c:v>123.34246499006633</c:v>
                </c:pt>
                <c:pt idx="19">
                  <c:v>147.81932853312981</c:v>
                </c:pt>
                <c:pt idx="20">
                  <c:v>172.19921472129715</c:v>
                </c:pt>
                <c:pt idx="21">
                  <c:v>139.81265219870173</c:v>
                </c:pt>
                <c:pt idx="22">
                  <c:v>166.32236690304859</c:v>
                </c:pt>
                <c:pt idx="23">
                  <c:v>192.73216648384053</c:v>
                </c:pt>
                <c:pt idx="24">
                  <c:v>219.05768580263302</c:v>
                </c:pt>
                <c:pt idx="25">
                  <c:v>245.31048218883168</c:v>
                </c:pt>
                <c:pt idx="26">
                  <c:v>211.5439756614193</c:v>
                </c:pt>
                <c:pt idx="27">
                  <c:v>236.15050195685842</c:v>
                </c:pt>
                <c:pt idx="28">
                  <c:v>260.69854644227718</c:v>
                </c:pt>
                <c:pt idx="29">
                  <c:v>285.19438858407307</c:v>
                </c:pt>
                <c:pt idx="30">
                  <c:v>309.64314037802706</c:v>
                </c:pt>
                <c:pt idx="31">
                  <c:v>273.99055606211823</c:v>
                </c:pt>
                <c:pt idx="32">
                  <c:v>296.38837122188016</c:v>
                </c:pt>
                <c:pt idx="33">
                  <c:v>318.74845191443995</c:v>
                </c:pt>
                <c:pt idx="34">
                  <c:v>341.07381596633996</c:v>
                </c:pt>
                <c:pt idx="35">
                  <c:v>363.3670539509107</c:v>
                </c:pt>
                <c:pt idx="36">
                  <c:v>325.36686982553408</c:v>
                </c:pt>
                <c:pt idx="37">
                  <c:v>345.20454595217711</c:v>
                </c:pt>
                <c:pt idx="38">
                  <c:v>365.01719063545926</c:v>
                </c:pt>
                <c:pt idx="39">
                  <c:v>384.80635300902645</c:v>
                </c:pt>
                <c:pt idx="40">
                  <c:v>404.57340992986127</c:v>
                </c:pt>
                <c:pt idx="41">
                  <c:v>363.77960344692701</c:v>
                </c:pt>
                <c:pt idx="42">
                  <c:v>380.68547719043937</c:v>
                </c:pt>
                <c:pt idx="43">
                  <c:v>397.57502530134622</c:v>
                </c:pt>
                <c:pt idx="44">
                  <c:v>414.44903871854268</c:v>
                </c:pt>
                <c:pt idx="45">
                  <c:v>431.30823874034053</c:v>
                </c:pt>
                <c:pt idx="46">
                  <c:v>400.86871209258271</c:v>
                </c:pt>
                <c:pt idx="47">
                  <c:v>415.68313267172829</c:v>
                </c:pt>
                <c:pt idx="48">
                  <c:v>430.48617222970421</c:v>
                </c:pt>
                <c:pt idx="49">
                  <c:v>445.27827716326095</c:v>
                </c:pt>
                <c:pt idx="50">
                  <c:v>460.05986179752381</c:v>
                </c:pt>
                <c:pt idx="51">
                  <c:v>437.4726694559651</c:v>
                </c:pt>
                <c:pt idx="52">
                  <c:v>449.79597029004339</c:v>
                </c:pt>
                <c:pt idx="53">
                  <c:v>462.11204968448214</c:v>
                </c:pt>
                <c:pt idx="54">
                  <c:v>474.42112721892153</c:v>
                </c:pt>
                <c:pt idx="55">
                  <c:v>486.72341015001894</c:v>
                </c:pt>
                <c:pt idx="56">
                  <c:v>470.72912659462128</c:v>
                </c:pt>
                <c:pt idx="57">
                  <c:v>481.39324229456093</c:v>
                </c:pt>
                <c:pt idx="58">
                  <c:v>492.05233905304038</c:v>
                </c:pt>
                <c:pt idx="59">
                  <c:v>502.70654092641371</c:v>
                </c:pt>
                <c:pt idx="60">
                  <c:v>513.35596628348583</c:v>
                </c:pt>
                <c:pt idx="61">
                  <c:v>497.78981755435296</c:v>
                </c:pt>
                <c:pt idx="62">
                  <c:v>506.8030327356762</c:v>
                </c:pt>
                <c:pt idx="63">
                  <c:v>515.81285970133592</c:v>
                </c:pt>
                <c:pt idx="64">
                  <c:v>524.81936598968662</c:v>
                </c:pt>
                <c:pt idx="65">
                  <c:v>533.8226166315709</c:v>
                </c:pt>
                <c:pt idx="66">
                  <c:v>519.08833363505858</c:v>
                </c:pt>
                <c:pt idx="67">
                  <c:v>526.86584290776045</c:v>
                </c:pt>
                <c:pt idx="68">
                  <c:v>534.64093470914429</c:v>
                </c:pt>
                <c:pt idx="69">
                  <c:v>542.4136491628301</c:v>
                </c:pt>
                <c:pt idx="70">
                  <c:v>550.18402514843217</c:v>
                </c:pt>
                <c:pt idx="71">
                  <c:v>536.68661476319755</c:v>
                </c:pt>
                <c:pt idx="72">
                  <c:v>543.64070511934517</c:v>
                </c:pt>
                <c:pt idx="73">
                  <c:v>550.59292824762156</c:v>
                </c:pt>
                <c:pt idx="74">
                  <c:v>557.54331105767415</c:v>
                </c:pt>
                <c:pt idx="75">
                  <c:v>564.49187973331652</c:v>
                </c:pt>
                <c:pt idx="76">
                  <c:v>551.81959936072406</c:v>
                </c:pt>
                <c:pt idx="77">
                  <c:v>557.54331105767415</c:v>
                </c:pt>
                <c:pt idx="78">
                  <c:v>563.26579242009177</c:v>
                </c:pt>
                <c:pt idx="79">
                  <c:v>568.9870577157609</c:v>
                </c:pt>
                <c:pt idx="80">
                  <c:v>574.70712090201823</c:v>
                </c:pt>
                <c:pt idx="81">
                  <c:v>558.3608833855659</c:v>
                </c:pt>
                <c:pt idx="82">
                  <c:v>558.3608833855659</c:v>
                </c:pt>
                <c:pt idx="83">
                  <c:v>558.3608833855659</c:v>
                </c:pt>
                <c:pt idx="84">
                  <c:v>558.3608833855659</c:v>
                </c:pt>
                <c:pt idx="85">
                  <c:v>558.3608833855659</c:v>
                </c:pt>
                <c:pt idx="86">
                  <c:v>558.3608833855659</c:v>
                </c:pt>
                <c:pt idx="87">
                  <c:v>558.3608833855659</c:v>
                </c:pt>
                <c:pt idx="88">
                  <c:v>558.3608833855659</c:v>
                </c:pt>
                <c:pt idx="89">
                  <c:v>558.3608833855659</c:v>
                </c:pt>
                <c:pt idx="90">
                  <c:v>558.3608833855659</c:v>
                </c:pt>
                <c:pt idx="91">
                  <c:v>558.3608833855659</c:v>
                </c:pt>
                <c:pt idx="92">
                  <c:v>558.3608833855659</c:v>
                </c:pt>
                <c:pt idx="93">
                  <c:v>558.3608833855659</c:v>
                </c:pt>
                <c:pt idx="94">
                  <c:v>558.3608833855659</c:v>
                </c:pt>
                <c:pt idx="95">
                  <c:v>558.3608833855659</c:v>
                </c:pt>
                <c:pt idx="96">
                  <c:v>558.3608833855659</c:v>
                </c:pt>
                <c:pt idx="97">
                  <c:v>558.3608833855659</c:v>
                </c:pt>
                <c:pt idx="98">
                  <c:v>558.3608833855659</c:v>
                </c:pt>
                <c:pt idx="99">
                  <c:v>558.3608833855659</c:v>
                </c:pt>
                <c:pt idx="100">
                  <c:v>558.3608833855659</c:v>
                </c:pt>
                <c:pt idx="101">
                  <c:v>558.3608833855659</c:v>
                </c:pt>
                <c:pt idx="102">
                  <c:v>558.3608833855659</c:v>
                </c:pt>
                <c:pt idx="103">
                  <c:v>558.3608833855659</c:v>
                </c:pt>
                <c:pt idx="104">
                  <c:v>558.3608833855659</c:v>
                </c:pt>
                <c:pt idx="105">
                  <c:v>558.3608833855659</c:v>
                </c:pt>
                <c:pt idx="106">
                  <c:v>558.3608833855659</c:v>
                </c:pt>
                <c:pt idx="107">
                  <c:v>558.3608833855659</c:v>
                </c:pt>
                <c:pt idx="108">
                  <c:v>558.3608833855659</c:v>
                </c:pt>
                <c:pt idx="109">
                  <c:v>558.3608833855659</c:v>
                </c:pt>
                <c:pt idx="110">
                  <c:v>558.3608833855659</c:v>
                </c:pt>
                <c:pt idx="111">
                  <c:v>558.3608833855659</c:v>
                </c:pt>
                <c:pt idx="112">
                  <c:v>558.3608833855659</c:v>
                </c:pt>
                <c:pt idx="113">
                  <c:v>558.3608833855659</c:v>
                </c:pt>
                <c:pt idx="114">
                  <c:v>558.3608833855659</c:v>
                </c:pt>
                <c:pt idx="115">
                  <c:v>558.3608833855659</c:v>
                </c:pt>
                <c:pt idx="116">
                  <c:v>558.3608833855659</c:v>
                </c:pt>
                <c:pt idx="117">
                  <c:v>558.3608833855659</c:v>
                </c:pt>
                <c:pt idx="118">
                  <c:v>558.3608833855659</c:v>
                </c:pt>
                <c:pt idx="119">
                  <c:v>558.3608833855659</c:v>
                </c:pt>
                <c:pt idx="120">
                  <c:v>558.3608833855659</c:v>
                </c:pt>
                <c:pt idx="121">
                  <c:v>558.3608833855659</c:v>
                </c:pt>
                <c:pt idx="122">
                  <c:v>558.3608833855659</c:v>
                </c:pt>
                <c:pt idx="123">
                  <c:v>558.3608833855659</c:v>
                </c:pt>
                <c:pt idx="124">
                  <c:v>558.3608833855659</c:v>
                </c:pt>
                <c:pt idx="125">
                  <c:v>558.3608833855659</c:v>
                </c:pt>
                <c:pt idx="126">
                  <c:v>558.3608833855659</c:v>
                </c:pt>
                <c:pt idx="127">
                  <c:v>558.3608833855659</c:v>
                </c:pt>
                <c:pt idx="128">
                  <c:v>558.3608833855659</c:v>
                </c:pt>
                <c:pt idx="129">
                  <c:v>558.3608833855659</c:v>
                </c:pt>
                <c:pt idx="130">
                  <c:v>558.3608833855659</c:v>
                </c:pt>
                <c:pt idx="131">
                  <c:v>558.3608833855659</c:v>
                </c:pt>
                <c:pt idx="132">
                  <c:v>558.3608833855659</c:v>
                </c:pt>
                <c:pt idx="133">
                  <c:v>558.3608833855659</c:v>
                </c:pt>
                <c:pt idx="134">
                  <c:v>558.3608833855659</c:v>
                </c:pt>
                <c:pt idx="135">
                  <c:v>558.3608833855659</c:v>
                </c:pt>
                <c:pt idx="136">
                  <c:v>558.3608833855659</c:v>
                </c:pt>
                <c:pt idx="137">
                  <c:v>558.3608833855659</c:v>
                </c:pt>
                <c:pt idx="138">
                  <c:v>558.3608833855659</c:v>
                </c:pt>
                <c:pt idx="139">
                  <c:v>558.3608833855659</c:v>
                </c:pt>
                <c:pt idx="140">
                  <c:v>558.3608833855659</c:v>
                </c:pt>
                <c:pt idx="141">
                  <c:v>558.3608833855659</c:v>
                </c:pt>
                <c:pt idx="142">
                  <c:v>558.3608833855659</c:v>
                </c:pt>
                <c:pt idx="143">
                  <c:v>558.3608833855659</c:v>
                </c:pt>
                <c:pt idx="144">
                  <c:v>558.3608833855659</c:v>
                </c:pt>
                <c:pt idx="145">
                  <c:v>558.3608833855659</c:v>
                </c:pt>
                <c:pt idx="146">
                  <c:v>558.3608833855659</c:v>
                </c:pt>
                <c:pt idx="147">
                  <c:v>558.3608833855659</c:v>
                </c:pt>
                <c:pt idx="148">
                  <c:v>558.3608833855659</c:v>
                </c:pt>
                <c:pt idx="149">
                  <c:v>558.3608833855659</c:v>
                </c:pt>
                <c:pt idx="150">
                  <c:v>558.3608833855659</c:v>
                </c:pt>
                <c:pt idx="151">
                  <c:v>558.3608833855659</c:v>
                </c:pt>
                <c:pt idx="152">
                  <c:v>558.3608833855659</c:v>
                </c:pt>
                <c:pt idx="153">
                  <c:v>558.3608833855659</c:v>
                </c:pt>
                <c:pt idx="154">
                  <c:v>558.3608833855659</c:v>
                </c:pt>
                <c:pt idx="155">
                  <c:v>558.3608833855659</c:v>
                </c:pt>
                <c:pt idx="156">
                  <c:v>558.3608833855659</c:v>
                </c:pt>
                <c:pt idx="157">
                  <c:v>558.3608833855659</c:v>
                </c:pt>
                <c:pt idx="158">
                  <c:v>558.3608833855659</c:v>
                </c:pt>
                <c:pt idx="159">
                  <c:v>558.3608833855659</c:v>
                </c:pt>
                <c:pt idx="160">
                  <c:v>558.3608833855659</c:v>
                </c:pt>
                <c:pt idx="161">
                  <c:v>558.3608833855659</c:v>
                </c:pt>
                <c:pt idx="162">
                  <c:v>558.3608833855659</c:v>
                </c:pt>
                <c:pt idx="163">
                  <c:v>558.3608833855659</c:v>
                </c:pt>
                <c:pt idx="164">
                  <c:v>558.3608833855659</c:v>
                </c:pt>
                <c:pt idx="165">
                  <c:v>558.3608833855659</c:v>
                </c:pt>
                <c:pt idx="166">
                  <c:v>558.3608833855659</c:v>
                </c:pt>
                <c:pt idx="167">
                  <c:v>558.3608833855659</c:v>
                </c:pt>
                <c:pt idx="168">
                  <c:v>558.3608833855659</c:v>
                </c:pt>
                <c:pt idx="169">
                  <c:v>558.3608833855659</c:v>
                </c:pt>
                <c:pt idx="170">
                  <c:v>558.3608833855659</c:v>
                </c:pt>
                <c:pt idx="171">
                  <c:v>558.3608833855659</c:v>
                </c:pt>
                <c:pt idx="172">
                  <c:v>558.3608833855659</c:v>
                </c:pt>
                <c:pt idx="173">
                  <c:v>558.3608833855659</c:v>
                </c:pt>
                <c:pt idx="174">
                  <c:v>558.3608833855659</c:v>
                </c:pt>
                <c:pt idx="175">
                  <c:v>558.3608833855659</c:v>
                </c:pt>
                <c:pt idx="176">
                  <c:v>558.3608833855659</c:v>
                </c:pt>
                <c:pt idx="177">
                  <c:v>558.3608833855659</c:v>
                </c:pt>
                <c:pt idx="178">
                  <c:v>558.3608833855659</c:v>
                </c:pt>
                <c:pt idx="179">
                  <c:v>558.3608833855659</c:v>
                </c:pt>
                <c:pt idx="180">
                  <c:v>558.3608833855659</c:v>
                </c:pt>
                <c:pt idx="181">
                  <c:v>558.3608833855659</c:v>
                </c:pt>
                <c:pt idx="182">
                  <c:v>558.3608833855659</c:v>
                </c:pt>
                <c:pt idx="183">
                  <c:v>558.3608833855659</c:v>
                </c:pt>
                <c:pt idx="184">
                  <c:v>558.3608833855659</c:v>
                </c:pt>
                <c:pt idx="185">
                  <c:v>558.3608833855659</c:v>
                </c:pt>
                <c:pt idx="186">
                  <c:v>558.3608833855659</c:v>
                </c:pt>
                <c:pt idx="187">
                  <c:v>558.3608833855659</c:v>
                </c:pt>
                <c:pt idx="188">
                  <c:v>558.3608833855659</c:v>
                </c:pt>
                <c:pt idx="189">
                  <c:v>558.3608833855659</c:v>
                </c:pt>
                <c:pt idx="190">
                  <c:v>558.3608833855659</c:v>
                </c:pt>
                <c:pt idx="191">
                  <c:v>558.3608833855659</c:v>
                </c:pt>
                <c:pt idx="192">
                  <c:v>558.3608833855659</c:v>
                </c:pt>
                <c:pt idx="193">
                  <c:v>558.3608833855659</c:v>
                </c:pt>
                <c:pt idx="194">
                  <c:v>558.3608833855659</c:v>
                </c:pt>
                <c:pt idx="195">
                  <c:v>558.3608833855659</c:v>
                </c:pt>
                <c:pt idx="196">
                  <c:v>558.3608833855659</c:v>
                </c:pt>
                <c:pt idx="197">
                  <c:v>558.3608833855659</c:v>
                </c:pt>
                <c:pt idx="198">
                  <c:v>558.3608833855659</c:v>
                </c:pt>
                <c:pt idx="199">
                  <c:v>558.3608833855659</c:v>
                </c:pt>
                <c:pt idx="200">
                  <c:v>558.3608833855659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548.96387316130563</c:v>
                </c:pt>
                <c:pt idx="82">
                  <c:v>548.96387316130563</c:v>
                </c:pt>
                <c:pt idx="83">
                  <c:v>548.96387316130563</c:v>
                </c:pt>
                <c:pt idx="84">
                  <c:v>548.96387316130563</c:v>
                </c:pt>
                <c:pt idx="85">
                  <c:v>548.96387316130563</c:v>
                </c:pt>
                <c:pt idx="86">
                  <c:v>548.96387316130563</c:v>
                </c:pt>
                <c:pt idx="87">
                  <c:v>548.96387316130563</c:v>
                </c:pt>
                <c:pt idx="88">
                  <c:v>548.96387316130563</c:v>
                </c:pt>
                <c:pt idx="89">
                  <c:v>548.96387316130563</c:v>
                </c:pt>
                <c:pt idx="90">
                  <c:v>548.96387316130563</c:v>
                </c:pt>
                <c:pt idx="91">
                  <c:v>548.96387316130563</c:v>
                </c:pt>
                <c:pt idx="92">
                  <c:v>548.96387316130563</c:v>
                </c:pt>
                <c:pt idx="93">
                  <c:v>548.96387316130563</c:v>
                </c:pt>
                <c:pt idx="94">
                  <c:v>548.96387316130563</c:v>
                </c:pt>
                <c:pt idx="95">
                  <c:v>548.96387316130563</c:v>
                </c:pt>
                <c:pt idx="96">
                  <c:v>548.96387316130563</c:v>
                </c:pt>
                <c:pt idx="97">
                  <c:v>548.96387316130563</c:v>
                </c:pt>
                <c:pt idx="98">
                  <c:v>548.96387316130563</c:v>
                </c:pt>
                <c:pt idx="99">
                  <c:v>548.96387316130563</c:v>
                </c:pt>
                <c:pt idx="100">
                  <c:v>548.96387316130563</c:v>
                </c:pt>
                <c:pt idx="101">
                  <c:v>548.96387316130563</c:v>
                </c:pt>
                <c:pt idx="102">
                  <c:v>548.96387316130563</c:v>
                </c:pt>
                <c:pt idx="103">
                  <c:v>548.96387316130563</c:v>
                </c:pt>
                <c:pt idx="104">
                  <c:v>548.96387316130563</c:v>
                </c:pt>
                <c:pt idx="105">
                  <c:v>548.96387316130563</c:v>
                </c:pt>
                <c:pt idx="106">
                  <c:v>548.96387316130563</c:v>
                </c:pt>
                <c:pt idx="107">
                  <c:v>548.96387316130563</c:v>
                </c:pt>
                <c:pt idx="108">
                  <c:v>548.96387316130563</c:v>
                </c:pt>
                <c:pt idx="109">
                  <c:v>548.96387316130563</c:v>
                </c:pt>
                <c:pt idx="110">
                  <c:v>548.96387316130563</c:v>
                </c:pt>
                <c:pt idx="111">
                  <c:v>548.96387316130563</c:v>
                </c:pt>
                <c:pt idx="112">
                  <c:v>548.96387316130563</c:v>
                </c:pt>
                <c:pt idx="113">
                  <c:v>548.96387316130563</c:v>
                </c:pt>
                <c:pt idx="114">
                  <c:v>548.96387316130563</c:v>
                </c:pt>
                <c:pt idx="115">
                  <c:v>548.96387316130563</c:v>
                </c:pt>
                <c:pt idx="116">
                  <c:v>548.96387316130563</c:v>
                </c:pt>
                <c:pt idx="117">
                  <c:v>548.96387316130563</c:v>
                </c:pt>
                <c:pt idx="118">
                  <c:v>548.96387316130563</c:v>
                </c:pt>
                <c:pt idx="119">
                  <c:v>548.96387316130563</c:v>
                </c:pt>
                <c:pt idx="120">
                  <c:v>548.96387316130563</c:v>
                </c:pt>
                <c:pt idx="121">
                  <c:v>548.96387316130563</c:v>
                </c:pt>
                <c:pt idx="122">
                  <c:v>548.96387316130563</c:v>
                </c:pt>
                <c:pt idx="123">
                  <c:v>548.96387316130563</c:v>
                </c:pt>
                <c:pt idx="124">
                  <c:v>548.96387316130563</c:v>
                </c:pt>
                <c:pt idx="125">
                  <c:v>548.96387316130563</c:v>
                </c:pt>
                <c:pt idx="126">
                  <c:v>548.96387316130563</c:v>
                </c:pt>
                <c:pt idx="127">
                  <c:v>548.96387316130563</c:v>
                </c:pt>
                <c:pt idx="128">
                  <c:v>548.96387316130563</c:v>
                </c:pt>
                <c:pt idx="129">
                  <c:v>548.96387316130563</c:v>
                </c:pt>
                <c:pt idx="130">
                  <c:v>548.96387316130563</c:v>
                </c:pt>
                <c:pt idx="131">
                  <c:v>548.96387316130563</c:v>
                </c:pt>
                <c:pt idx="132">
                  <c:v>548.96387316130563</c:v>
                </c:pt>
                <c:pt idx="133">
                  <c:v>548.96387316130563</c:v>
                </c:pt>
                <c:pt idx="134">
                  <c:v>548.96387316130563</c:v>
                </c:pt>
                <c:pt idx="135">
                  <c:v>548.96387316130563</c:v>
                </c:pt>
                <c:pt idx="136">
                  <c:v>548.96387316130563</c:v>
                </c:pt>
                <c:pt idx="137">
                  <c:v>548.96387316130563</c:v>
                </c:pt>
                <c:pt idx="138">
                  <c:v>548.96387316130563</c:v>
                </c:pt>
                <c:pt idx="139">
                  <c:v>548.96387316130563</c:v>
                </c:pt>
                <c:pt idx="140">
                  <c:v>548.96387316130563</c:v>
                </c:pt>
                <c:pt idx="141">
                  <c:v>548.96387316130563</c:v>
                </c:pt>
                <c:pt idx="142">
                  <c:v>548.96387316130563</c:v>
                </c:pt>
                <c:pt idx="143">
                  <c:v>548.96387316130563</c:v>
                </c:pt>
                <c:pt idx="144">
                  <c:v>548.96387316130563</c:v>
                </c:pt>
                <c:pt idx="145">
                  <c:v>548.96387316130563</c:v>
                </c:pt>
                <c:pt idx="146">
                  <c:v>548.96387316130563</c:v>
                </c:pt>
                <c:pt idx="147">
                  <c:v>548.96387316130563</c:v>
                </c:pt>
                <c:pt idx="148">
                  <c:v>548.96387316130563</c:v>
                </c:pt>
                <c:pt idx="149">
                  <c:v>548.96387316130563</c:v>
                </c:pt>
                <c:pt idx="150">
                  <c:v>548.96387316130563</c:v>
                </c:pt>
                <c:pt idx="151">
                  <c:v>548.96387316130563</c:v>
                </c:pt>
                <c:pt idx="152">
                  <c:v>548.96387316130563</c:v>
                </c:pt>
                <c:pt idx="153">
                  <c:v>548.96387316130563</c:v>
                </c:pt>
                <c:pt idx="154">
                  <c:v>548.96387316130563</c:v>
                </c:pt>
                <c:pt idx="155">
                  <c:v>548.96387316130563</c:v>
                </c:pt>
                <c:pt idx="156">
                  <c:v>548.96387316130563</c:v>
                </c:pt>
                <c:pt idx="157">
                  <c:v>548.96387316130563</c:v>
                </c:pt>
                <c:pt idx="158">
                  <c:v>548.96387316130563</c:v>
                </c:pt>
                <c:pt idx="159">
                  <c:v>548.96387316130563</c:v>
                </c:pt>
                <c:pt idx="160">
                  <c:v>548.96387316130563</c:v>
                </c:pt>
                <c:pt idx="161">
                  <c:v>548.96387316130563</c:v>
                </c:pt>
                <c:pt idx="162">
                  <c:v>548.96387316130563</c:v>
                </c:pt>
                <c:pt idx="163">
                  <c:v>548.96387316130563</c:v>
                </c:pt>
                <c:pt idx="164">
                  <c:v>548.96387316130563</c:v>
                </c:pt>
                <c:pt idx="165">
                  <c:v>548.96387316130563</c:v>
                </c:pt>
                <c:pt idx="166">
                  <c:v>548.96387316130563</c:v>
                </c:pt>
                <c:pt idx="167">
                  <c:v>548.96387316130563</c:v>
                </c:pt>
                <c:pt idx="168">
                  <c:v>548.96387316130563</c:v>
                </c:pt>
                <c:pt idx="169">
                  <c:v>548.96387316130563</c:v>
                </c:pt>
                <c:pt idx="170">
                  <c:v>548.96387316130563</c:v>
                </c:pt>
                <c:pt idx="171">
                  <c:v>548.96387316130563</c:v>
                </c:pt>
                <c:pt idx="172">
                  <c:v>548.96387316130563</c:v>
                </c:pt>
                <c:pt idx="173">
                  <c:v>548.96387316130563</c:v>
                </c:pt>
                <c:pt idx="174">
                  <c:v>548.96387316130563</c:v>
                </c:pt>
                <c:pt idx="175">
                  <c:v>548.96387316130563</c:v>
                </c:pt>
                <c:pt idx="176">
                  <c:v>548.96387316130563</c:v>
                </c:pt>
                <c:pt idx="177">
                  <c:v>548.96387316130563</c:v>
                </c:pt>
                <c:pt idx="178">
                  <c:v>548.96387316130563</c:v>
                </c:pt>
                <c:pt idx="179">
                  <c:v>548.96387316130563</c:v>
                </c:pt>
                <c:pt idx="180">
                  <c:v>548.96387316130563</c:v>
                </c:pt>
                <c:pt idx="181">
                  <c:v>548.96387316130563</c:v>
                </c:pt>
                <c:pt idx="182">
                  <c:v>548.96387316130563</c:v>
                </c:pt>
                <c:pt idx="183">
                  <c:v>548.96387316130563</c:v>
                </c:pt>
                <c:pt idx="184">
                  <c:v>548.96387316130563</c:v>
                </c:pt>
                <c:pt idx="185">
                  <c:v>548.96387316130563</c:v>
                </c:pt>
                <c:pt idx="186">
                  <c:v>548.96387316130563</c:v>
                </c:pt>
                <c:pt idx="187">
                  <c:v>548.96387316130563</c:v>
                </c:pt>
                <c:pt idx="188">
                  <c:v>548.96387316130563</c:v>
                </c:pt>
                <c:pt idx="189">
                  <c:v>548.96387316130563</c:v>
                </c:pt>
                <c:pt idx="190">
                  <c:v>548.96387316130563</c:v>
                </c:pt>
                <c:pt idx="191">
                  <c:v>548.96387316130563</c:v>
                </c:pt>
                <c:pt idx="192">
                  <c:v>548.96387316130563</c:v>
                </c:pt>
                <c:pt idx="193">
                  <c:v>548.96387316130563</c:v>
                </c:pt>
                <c:pt idx="194">
                  <c:v>548.96387316130563</c:v>
                </c:pt>
                <c:pt idx="195">
                  <c:v>548.96387316130563</c:v>
                </c:pt>
                <c:pt idx="196">
                  <c:v>548.96387316130563</c:v>
                </c:pt>
                <c:pt idx="197">
                  <c:v>548.96387316130563</c:v>
                </c:pt>
                <c:pt idx="198">
                  <c:v>548.96387316130563</c:v>
                </c:pt>
                <c:pt idx="199">
                  <c:v>548.96387316130563</c:v>
                </c:pt>
                <c:pt idx="200">
                  <c:v>548.96387316130563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472.76708100439259</c:v>
                </c:pt>
                <c:pt idx="67">
                  <c:v>487.38463458913128</c:v>
                </c:pt>
                <c:pt idx="68">
                  <c:v>501.99288641186791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499.41562163511867</c:v>
                </c:pt>
                <c:pt idx="72">
                  <c:v>512.72849407236004</c:v>
                </c:pt>
                <c:pt idx="73">
                  <c:v>526.034069299154</c:v>
                </c:pt>
                <c:pt idx="74">
                  <c:v>539.33255785121992</c:v>
                </c:pt>
                <c:pt idx="75">
                  <c:v>552.62415903802309</c:v>
                </c:pt>
                <c:pt idx="76">
                  <c:v>520.45518659727634</c:v>
                </c:pt>
                <c:pt idx="77">
                  <c:v>533.32765337796286</c:v>
                </c:pt>
                <c:pt idx="78">
                  <c:v>546.193586977059</c:v>
                </c:pt>
                <c:pt idx="79">
                  <c:v>559.05316293312762</c:v>
                </c:pt>
                <c:pt idx="80">
                  <c:v>571.90654805285897</c:v>
                </c:pt>
                <c:pt idx="81">
                  <c:v>539.3325578512198</c:v>
                </c:pt>
                <c:pt idx="82">
                  <c:v>551.7668404903385</c:v>
                </c:pt>
                <c:pt idx="83">
                  <c:v>564.19525081895074</c:v>
                </c:pt>
                <c:pt idx="84">
                  <c:v>576.61793639178723</c:v>
                </c:pt>
                <c:pt idx="85">
                  <c:v>589.03503788906914</c:v>
                </c:pt>
                <c:pt idx="86">
                  <c:v>555.62455474096134</c:v>
                </c:pt>
                <c:pt idx="87">
                  <c:v>567.19434879973289</c:v>
                </c:pt>
                <c:pt idx="88">
                  <c:v>578.75921052572812</c:v>
                </c:pt>
                <c:pt idx="89">
                  <c:v>590.3192523477727</c:v>
                </c:pt>
                <c:pt idx="90">
                  <c:v>601.87458193334112</c:v>
                </c:pt>
                <c:pt idx="91">
                  <c:v>567.62276426035044</c:v>
                </c:pt>
                <c:pt idx="92">
                  <c:v>578.33096894357766</c:v>
                </c:pt>
                <c:pt idx="93">
                  <c:v>589.03503788906892</c:v>
                </c:pt>
                <c:pt idx="94">
                  <c:v>599.73505683441078</c:v>
                </c:pt>
                <c:pt idx="95">
                  <c:v>610.43110820893151</c:v>
                </c:pt>
                <c:pt idx="96">
                  <c:v>575.76138030334926</c:v>
                </c:pt>
                <c:pt idx="97">
                  <c:v>586.03831044894537</c:v>
                </c:pt>
                <c:pt idx="98">
                  <c:v>596.31148632519455</c:v>
                </c:pt>
                <c:pt idx="99">
                  <c:v>606.58098171901759</c:v>
                </c:pt>
                <c:pt idx="100">
                  <c:v>616.84686771553959</c:v>
                </c:pt>
                <c:pt idx="101">
                  <c:v>581.75671680137077</c:v>
                </c:pt>
                <c:pt idx="102">
                  <c:v>591.6034086352571</c:v>
                </c:pt>
                <c:pt idx="103">
                  <c:v>601.44668957799445</c:v>
                </c:pt>
                <c:pt idx="104">
                  <c:v>611.28662331597241</c:v>
                </c:pt>
                <c:pt idx="105">
                  <c:v>621.12327131831159</c:v>
                </c:pt>
                <c:pt idx="106">
                  <c:v>587.322661205072</c:v>
                </c:pt>
                <c:pt idx="107">
                  <c:v>596.31148632519489</c:v>
                </c:pt>
                <c:pt idx="108">
                  <c:v>605.29749361634447</c:v>
                </c:pt>
                <c:pt idx="109">
                  <c:v>614.28073080742217</c:v>
                </c:pt>
                <c:pt idx="110">
                  <c:v>623.26124411759065</c:v>
                </c:pt>
                <c:pt idx="111">
                  <c:v>590.74731089993531</c:v>
                </c:pt>
                <c:pt idx="112">
                  <c:v>598.87920239707967</c:v>
                </c:pt>
                <c:pt idx="113">
                  <c:v>607.00879854794766</c:v>
                </c:pt>
                <c:pt idx="114">
                  <c:v>615.1361344298515</c:v>
                </c:pt>
                <c:pt idx="115">
                  <c:v>623.26124411759076</c:v>
                </c:pt>
                <c:pt idx="116">
                  <c:v>584.7539010360191</c:v>
                </c:pt>
                <c:pt idx="117">
                  <c:v>584.7539010360191</c:v>
                </c:pt>
                <c:pt idx="118">
                  <c:v>584.7539010360191</c:v>
                </c:pt>
                <c:pt idx="119">
                  <c:v>584.7539010360191</c:v>
                </c:pt>
                <c:pt idx="120">
                  <c:v>584.7539010360191</c:v>
                </c:pt>
                <c:pt idx="121">
                  <c:v>584.7539010360191</c:v>
                </c:pt>
                <c:pt idx="122">
                  <c:v>584.7539010360191</c:v>
                </c:pt>
                <c:pt idx="123">
                  <c:v>584.7539010360191</c:v>
                </c:pt>
                <c:pt idx="124">
                  <c:v>584.7539010360191</c:v>
                </c:pt>
                <c:pt idx="125">
                  <c:v>584.7539010360191</c:v>
                </c:pt>
                <c:pt idx="126">
                  <c:v>584.7539010360191</c:v>
                </c:pt>
                <c:pt idx="127">
                  <c:v>584.7539010360191</c:v>
                </c:pt>
                <c:pt idx="128">
                  <c:v>584.7539010360191</c:v>
                </c:pt>
                <c:pt idx="129">
                  <c:v>584.7539010360191</c:v>
                </c:pt>
                <c:pt idx="130">
                  <c:v>584.7539010360191</c:v>
                </c:pt>
                <c:pt idx="131">
                  <c:v>584.7539010360191</c:v>
                </c:pt>
                <c:pt idx="132">
                  <c:v>584.7539010360191</c:v>
                </c:pt>
                <c:pt idx="133">
                  <c:v>584.7539010360191</c:v>
                </c:pt>
                <c:pt idx="134">
                  <c:v>584.7539010360191</c:v>
                </c:pt>
                <c:pt idx="135">
                  <c:v>584.7539010360191</c:v>
                </c:pt>
                <c:pt idx="136">
                  <c:v>584.7539010360191</c:v>
                </c:pt>
                <c:pt idx="137">
                  <c:v>584.7539010360191</c:v>
                </c:pt>
                <c:pt idx="138">
                  <c:v>584.7539010360191</c:v>
                </c:pt>
                <c:pt idx="139">
                  <c:v>584.7539010360191</c:v>
                </c:pt>
                <c:pt idx="140">
                  <c:v>584.7539010360191</c:v>
                </c:pt>
                <c:pt idx="141">
                  <c:v>584.7539010360191</c:v>
                </c:pt>
                <c:pt idx="142">
                  <c:v>584.7539010360191</c:v>
                </c:pt>
                <c:pt idx="143">
                  <c:v>584.7539010360191</c:v>
                </c:pt>
                <c:pt idx="144">
                  <c:v>584.7539010360191</c:v>
                </c:pt>
                <c:pt idx="145">
                  <c:v>584.7539010360191</c:v>
                </c:pt>
                <c:pt idx="146">
                  <c:v>584.7539010360191</c:v>
                </c:pt>
                <c:pt idx="147">
                  <c:v>584.7539010360191</c:v>
                </c:pt>
                <c:pt idx="148">
                  <c:v>584.7539010360191</c:v>
                </c:pt>
                <c:pt idx="149">
                  <c:v>584.7539010360191</c:v>
                </c:pt>
                <c:pt idx="150">
                  <c:v>584.7539010360191</c:v>
                </c:pt>
                <c:pt idx="151">
                  <c:v>584.7539010360191</c:v>
                </c:pt>
                <c:pt idx="152">
                  <c:v>584.7539010360191</c:v>
                </c:pt>
                <c:pt idx="153">
                  <c:v>584.7539010360191</c:v>
                </c:pt>
                <c:pt idx="154">
                  <c:v>584.7539010360191</c:v>
                </c:pt>
                <c:pt idx="155">
                  <c:v>584.7539010360191</c:v>
                </c:pt>
                <c:pt idx="156">
                  <c:v>584.7539010360191</c:v>
                </c:pt>
                <c:pt idx="157">
                  <c:v>584.7539010360191</c:v>
                </c:pt>
                <c:pt idx="158">
                  <c:v>584.7539010360191</c:v>
                </c:pt>
                <c:pt idx="159">
                  <c:v>584.7539010360191</c:v>
                </c:pt>
                <c:pt idx="160">
                  <c:v>584.7539010360191</c:v>
                </c:pt>
                <c:pt idx="161">
                  <c:v>584.7539010360191</c:v>
                </c:pt>
                <c:pt idx="162">
                  <c:v>584.7539010360191</c:v>
                </c:pt>
                <c:pt idx="163">
                  <c:v>584.7539010360191</c:v>
                </c:pt>
                <c:pt idx="164">
                  <c:v>584.7539010360191</c:v>
                </c:pt>
                <c:pt idx="165">
                  <c:v>584.7539010360191</c:v>
                </c:pt>
                <c:pt idx="166">
                  <c:v>584.7539010360191</c:v>
                </c:pt>
                <c:pt idx="167">
                  <c:v>584.7539010360191</c:v>
                </c:pt>
                <c:pt idx="168">
                  <c:v>584.7539010360191</c:v>
                </c:pt>
                <c:pt idx="169">
                  <c:v>584.7539010360191</c:v>
                </c:pt>
                <c:pt idx="170">
                  <c:v>584.7539010360191</c:v>
                </c:pt>
                <c:pt idx="171">
                  <c:v>584.7539010360191</c:v>
                </c:pt>
                <c:pt idx="172">
                  <c:v>584.7539010360191</c:v>
                </c:pt>
                <c:pt idx="173">
                  <c:v>584.7539010360191</c:v>
                </c:pt>
                <c:pt idx="174">
                  <c:v>584.7539010360191</c:v>
                </c:pt>
                <c:pt idx="175">
                  <c:v>584.7539010360191</c:v>
                </c:pt>
                <c:pt idx="176">
                  <c:v>584.7539010360191</c:v>
                </c:pt>
                <c:pt idx="177">
                  <c:v>584.7539010360191</c:v>
                </c:pt>
                <c:pt idx="178">
                  <c:v>584.7539010360191</c:v>
                </c:pt>
                <c:pt idx="179">
                  <c:v>584.7539010360191</c:v>
                </c:pt>
                <c:pt idx="180">
                  <c:v>584.7539010360191</c:v>
                </c:pt>
                <c:pt idx="181">
                  <c:v>584.7539010360191</c:v>
                </c:pt>
                <c:pt idx="182">
                  <c:v>584.7539010360191</c:v>
                </c:pt>
                <c:pt idx="183">
                  <c:v>584.7539010360191</c:v>
                </c:pt>
                <c:pt idx="184">
                  <c:v>584.7539010360191</c:v>
                </c:pt>
                <c:pt idx="185">
                  <c:v>584.7539010360191</c:v>
                </c:pt>
                <c:pt idx="186">
                  <c:v>584.7539010360191</c:v>
                </c:pt>
                <c:pt idx="187">
                  <c:v>584.7539010360191</c:v>
                </c:pt>
                <c:pt idx="188">
                  <c:v>584.7539010360191</c:v>
                </c:pt>
                <c:pt idx="189">
                  <c:v>584.7539010360191</c:v>
                </c:pt>
                <c:pt idx="190">
                  <c:v>584.7539010360191</c:v>
                </c:pt>
                <c:pt idx="191">
                  <c:v>584.7539010360191</c:v>
                </c:pt>
                <c:pt idx="192">
                  <c:v>584.7539010360191</c:v>
                </c:pt>
                <c:pt idx="193">
                  <c:v>584.7539010360191</c:v>
                </c:pt>
                <c:pt idx="194">
                  <c:v>584.7539010360191</c:v>
                </c:pt>
                <c:pt idx="195">
                  <c:v>584.7539010360191</c:v>
                </c:pt>
                <c:pt idx="196">
                  <c:v>584.7539010360191</c:v>
                </c:pt>
                <c:pt idx="197">
                  <c:v>584.7539010360191</c:v>
                </c:pt>
                <c:pt idx="198">
                  <c:v>584.7539010360191</c:v>
                </c:pt>
                <c:pt idx="199">
                  <c:v>584.7539010360191</c:v>
                </c:pt>
                <c:pt idx="200">
                  <c:v>584.7539010360191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2.1350786004664535</c:v>
                </c:pt>
                <c:pt idx="2">
                  <c:v>2.6921717481430694</c:v>
                </c:pt>
                <c:pt idx="3">
                  <c:v>3.3951979925602132</c:v>
                </c:pt>
                <c:pt idx="4">
                  <c:v>4.2825271299889929</c:v>
                </c:pt>
                <c:pt idx="5">
                  <c:v>5.4026523830368793</c:v>
                </c:pt>
                <c:pt idx="6">
                  <c:v>6.8168699269517186</c:v>
                </c:pt>
                <c:pt idx="7">
                  <c:v>8.6026697455530794</c:v>
                </c:pt>
                <c:pt idx="8">
                  <c:v>10.858027163519033</c:v>
                </c:pt>
                <c:pt idx="9">
                  <c:v>13.706834927621495</c:v>
                </c:pt>
                <c:pt idx="10">
                  <c:v>17.305779747951522</c:v>
                </c:pt>
                <c:pt idx="11">
                  <c:v>21.853048382275563</c:v>
                </c:pt>
                <c:pt idx="12">
                  <c:v>27.599351245605177</c:v>
                </c:pt>
                <c:pt idx="13">
                  <c:v>34.861881979556053</c:v>
                </c:pt>
                <c:pt idx="14">
                  <c:v>44.041996814142045</c:v>
                </c:pt>
                <c:pt idx="15">
                  <c:v>55.647607276796499</c:v>
                </c:pt>
                <c:pt idx="16">
                  <c:v>50.671605091578876</c:v>
                </c:pt>
                <c:pt idx="17">
                  <c:v>67.602585604870953</c:v>
                </c:pt>
                <c:pt idx="18">
                  <c:v>84.42357654371574</c:v>
                </c:pt>
                <c:pt idx="19">
                  <c:v>101.15975656350798</c:v>
                </c:pt>
                <c:pt idx="20">
                  <c:v>117.82719554138386</c:v>
                </c:pt>
                <c:pt idx="21">
                  <c:v>95.685441973812658</c:v>
                </c:pt>
                <c:pt idx="22">
                  <c:v>113.80965748960364</c:v>
                </c:pt>
                <c:pt idx="23">
                  <c:v>131.86304956724535</c:v>
                </c:pt>
                <c:pt idx="24">
                  <c:v>149.85670075971808</c:v>
                </c:pt>
                <c:pt idx="25">
                  <c:v>167.79880331835713</c:v>
                </c:pt>
                <c:pt idx="26">
                  <c:v>144.72123383801272</c:v>
                </c:pt>
                <c:pt idx="27">
                  <c:v>161.53873896208071</c:v>
                </c:pt>
                <c:pt idx="28">
                  <c:v>178.31479007290753</c:v>
                </c:pt>
                <c:pt idx="29">
                  <c:v>195.05383828243905</c:v>
                </c:pt>
                <c:pt idx="30">
                  <c:v>211.75950715739978</c:v>
                </c:pt>
                <c:pt idx="31">
                  <c:v>187.3979404339226</c:v>
                </c:pt>
                <c:pt idx="32">
                  <c:v>202.70275417831499</c:v>
                </c:pt>
                <c:pt idx="33">
                  <c:v>217.98082037329854</c:v>
                </c:pt>
                <c:pt idx="34">
                  <c:v>233.23427816301728</c:v>
                </c:pt>
                <c:pt idx="35">
                  <c:v>248.46496383915087</c:v>
                </c:pt>
                <c:pt idx="36">
                  <c:v>222.50284096633973</c:v>
                </c:pt>
                <c:pt idx="37">
                  <c:v>236.05644310479695</c:v>
                </c:pt>
                <c:pt idx="38">
                  <c:v>249.59230205465977</c:v>
                </c:pt>
                <c:pt idx="39">
                  <c:v>263.11151589765069</c:v>
                </c:pt>
                <c:pt idx="40">
                  <c:v>276.61506059958816</c:v>
                </c:pt>
                <c:pt idx="41">
                  <c:v>248.7468092558544</c:v>
                </c:pt>
                <c:pt idx="42">
                  <c:v>260.29633594452861</c:v>
                </c:pt>
                <c:pt idx="43">
                  <c:v>271.83429043682321</c:v>
                </c:pt>
                <c:pt idx="44">
                  <c:v>283.36123337871345</c:v>
                </c:pt>
                <c:pt idx="45">
                  <c:v>294.87767605242146</c:v>
                </c:pt>
                <c:pt idx="46">
                  <c:v>274.08429806422936</c:v>
                </c:pt>
                <c:pt idx="47">
                  <c:v>284.20425004649184</c:v>
                </c:pt>
                <c:pt idx="48">
                  <c:v>294.31613475104683</c:v>
                </c:pt>
                <c:pt idx="49">
                  <c:v>304.42026859998879</c:v>
                </c:pt>
                <c:pt idx="50">
                  <c:v>314.51694528188881</c:v>
                </c:pt>
                <c:pt idx="51">
                  <c:v>299.08847869495389</c:v>
                </c:pt>
                <c:pt idx="52">
                  <c:v>307.50614242847166</c:v>
                </c:pt>
                <c:pt idx="53">
                  <c:v>315.91868734548342</c:v>
                </c:pt>
                <c:pt idx="54">
                  <c:v>324.32626909194659</c:v>
                </c:pt>
                <c:pt idx="55">
                  <c:v>332.72903457884439</c:v>
                </c:pt>
                <c:pt idx="56">
                  <c:v>321.80450679845353</c:v>
                </c:pt>
                <c:pt idx="57">
                  <c:v>329.08841844950109</c:v>
                </c:pt>
                <c:pt idx="58">
                  <c:v>336.36877249407797</c:v>
                </c:pt>
                <c:pt idx="59">
                  <c:v>343.64565686779611</c:v>
                </c:pt>
                <c:pt idx="60">
                  <c:v>350.91915547472735</c:v>
                </c:pt>
                <c:pt idx="61">
                  <c:v>340.28752055444613</c:v>
                </c:pt>
                <c:pt idx="62">
                  <c:v>346.44355255688691</c:v>
                </c:pt>
                <c:pt idx="63">
                  <c:v>352.59718287003443</c:v>
                </c:pt>
                <c:pt idx="64">
                  <c:v>358.74845936750694</c:v>
                </c:pt>
                <c:pt idx="65">
                  <c:v>364.89742814550755</c:v>
                </c:pt>
                <c:pt idx="66">
                  <c:v>354.83428056807503</c:v>
                </c:pt>
                <c:pt idx="67">
                  <c:v>360.14615329066805</c:v>
                </c:pt>
                <c:pt idx="68">
                  <c:v>365.45631242252239</c:v>
                </c:pt>
                <c:pt idx="69">
                  <c:v>370.76478640470503</c:v>
                </c:pt>
                <c:pt idx="70">
                  <c:v>376.07160279648701</c:v>
                </c:pt>
                <c:pt idx="71">
                  <c:v>366.85344149976572</c:v>
                </c:pt>
                <c:pt idx="72">
                  <c:v>371.60281428696067</c:v>
                </c:pt>
                <c:pt idx="73">
                  <c:v>376.35086351579002</c:v>
                </c:pt>
                <c:pt idx="74">
                  <c:v>381.09760826078065</c:v>
                </c:pt>
                <c:pt idx="75">
                  <c:v>385.843067081963</c:v>
                </c:pt>
                <c:pt idx="76">
                  <c:v>377.18861860717408</c:v>
                </c:pt>
                <c:pt idx="77">
                  <c:v>381.09760826078065</c:v>
                </c:pt>
                <c:pt idx="78">
                  <c:v>385.00572580895852</c:v>
                </c:pt>
                <c:pt idx="79">
                  <c:v>388.9129813652267</c:v>
                </c:pt>
                <c:pt idx="80">
                  <c:v>392.81938482304832</c:v>
                </c:pt>
                <c:pt idx="81">
                  <c:v>381.65596392356196</c:v>
                </c:pt>
                <c:pt idx="82">
                  <c:v>381.65596392356196</c:v>
                </c:pt>
                <c:pt idx="83">
                  <c:v>381.65596392356196</c:v>
                </c:pt>
                <c:pt idx="84">
                  <c:v>381.65596392356196</c:v>
                </c:pt>
                <c:pt idx="85">
                  <c:v>381.65596392356196</c:v>
                </c:pt>
                <c:pt idx="86">
                  <c:v>381.65596392356196</c:v>
                </c:pt>
                <c:pt idx="87">
                  <c:v>381.65596392356196</c:v>
                </c:pt>
                <c:pt idx="88">
                  <c:v>381.65596392356196</c:v>
                </c:pt>
                <c:pt idx="89">
                  <c:v>381.65596392356196</c:v>
                </c:pt>
                <c:pt idx="90">
                  <c:v>381.65596392356196</c:v>
                </c:pt>
                <c:pt idx="91">
                  <c:v>381.65596392356196</c:v>
                </c:pt>
                <c:pt idx="92">
                  <c:v>381.65596392356196</c:v>
                </c:pt>
                <c:pt idx="93">
                  <c:v>381.65596392356196</c:v>
                </c:pt>
                <c:pt idx="94">
                  <c:v>381.65596392356196</c:v>
                </c:pt>
                <c:pt idx="95">
                  <c:v>381.65596392356196</c:v>
                </c:pt>
                <c:pt idx="96">
                  <c:v>381.65596392356196</c:v>
                </c:pt>
                <c:pt idx="97">
                  <c:v>381.65596392356196</c:v>
                </c:pt>
                <c:pt idx="98">
                  <c:v>381.65596392356196</c:v>
                </c:pt>
                <c:pt idx="99">
                  <c:v>381.65596392356196</c:v>
                </c:pt>
                <c:pt idx="100">
                  <c:v>381.65596392356196</c:v>
                </c:pt>
                <c:pt idx="101">
                  <c:v>381.65596392356196</c:v>
                </c:pt>
                <c:pt idx="102">
                  <c:v>381.65596392356196</c:v>
                </c:pt>
                <c:pt idx="103">
                  <c:v>381.65596392356196</c:v>
                </c:pt>
                <c:pt idx="104">
                  <c:v>381.65596392356196</c:v>
                </c:pt>
                <c:pt idx="105">
                  <c:v>381.65596392356196</c:v>
                </c:pt>
                <c:pt idx="106">
                  <c:v>381.65596392356196</c:v>
                </c:pt>
                <c:pt idx="107">
                  <c:v>381.65596392356196</c:v>
                </c:pt>
                <c:pt idx="108">
                  <c:v>381.65596392356196</c:v>
                </c:pt>
                <c:pt idx="109">
                  <c:v>381.65596392356196</c:v>
                </c:pt>
                <c:pt idx="110">
                  <c:v>381.65596392356196</c:v>
                </c:pt>
                <c:pt idx="111">
                  <c:v>381.65596392356196</c:v>
                </c:pt>
                <c:pt idx="112">
                  <c:v>381.65596392356196</c:v>
                </c:pt>
                <c:pt idx="113">
                  <c:v>381.65596392356196</c:v>
                </c:pt>
                <c:pt idx="114">
                  <c:v>381.65596392356196</c:v>
                </c:pt>
                <c:pt idx="115">
                  <c:v>381.65596392356196</c:v>
                </c:pt>
                <c:pt idx="116">
                  <c:v>381.65596392356196</c:v>
                </c:pt>
                <c:pt idx="117">
                  <c:v>381.65596392356196</c:v>
                </c:pt>
                <c:pt idx="118">
                  <c:v>381.65596392356196</c:v>
                </c:pt>
                <c:pt idx="119">
                  <c:v>381.65596392356196</c:v>
                </c:pt>
                <c:pt idx="120">
                  <c:v>381.65596392356196</c:v>
                </c:pt>
                <c:pt idx="121">
                  <c:v>381.65596392356196</c:v>
                </c:pt>
                <c:pt idx="122">
                  <c:v>381.65596392356196</c:v>
                </c:pt>
                <c:pt idx="123">
                  <c:v>381.65596392356196</c:v>
                </c:pt>
                <c:pt idx="124">
                  <c:v>381.65596392356196</c:v>
                </c:pt>
                <c:pt idx="125">
                  <c:v>381.65596392356196</c:v>
                </c:pt>
                <c:pt idx="126">
                  <c:v>381.65596392356196</c:v>
                </c:pt>
                <c:pt idx="127">
                  <c:v>381.65596392356196</c:v>
                </c:pt>
                <c:pt idx="128">
                  <c:v>381.65596392356196</c:v>
                </c:pt>
                <c:pt idx="129">
                  <c:v>381.65596392356196</c:v>
                </c:pt>
                <c:pt idx="130">
                  <c:v>381.65596392356196</c:v>
                </c:pt>
                <c:pt idx="131">
                  <c:v>381.65596392356196</c:v>
                </c:pt>
                <c:pt idx="132">
                  <c:v>381.65596392356196</c:v>
                </c:pt>
                <c:pt idx="133">
                  <c:v>381.65596392356196</c:v>
                </c:pt>
                <c:pt idx="134">
                  <c:v>381.65596392356196</c:v>
                </c:pt>
                <c:pt idx="135">
                  <c:v>381.65596392356196</c:v>
                </c:pt>
                <c:pt idx="136">
                  <c:v>381.65596392356196</c:v>
                </c:pt>
                <c:pt idx="137">
                  <c:v>381.65596392356196</c:v>
                </c:pt>
                <c:pt idx="138">
                  <c:v>381.65596392356196</c:v>
                </c:pt>
                <c:pt idx="139">
                  <c:v>381.65596392356196</c:v>
                </c:pt>
                <c:pt idx="140">
                  <c:v>381.65596392356196</c:v>
                </c:pt>
                <c:pt idx="141">
                  <c:v>381.65596392356196</c:v>
                </c:pt>
                <c:pt idx="142">
                  <c:v>381.65596392356196</c:v>
                </c:pt>
                <c:pt idx="143">
                  <c:v>381.65596392356196</c:v>
                </c:pt>
                <c:pt idx="144">
                  <c:v>381.65596392356196</c:v>
                </c:pt>
                <c:pt idx="145">
                  <c:v>381.65596392356196</c:v>
                </c:pt>
                <c:pt idx="146">
                  <c:v>381.65596392356196</c:v>
                </c:pt>
                <c:pt idx="147">
                  <c:v>381.65596392356196</c:v>
                </c:pt>
                <c:pt idx="148">
                  <c:v>381.65596392356196</c:v>
                </c:pt>
                <c:pt idx="149">
                  <c:v>381.65596392356196</c:v>
                </c:pt>
                <c:pt idx="150">
                  <c:v>381.65596392356196</c:v>
                </c:pt>
                <c:pt idx="151">
                  <c:v>381.65596392356196</c:v>
                </c:pt>
                <c:pt idx="152">
                  <c:v>381.65596392356196</c:v>
                </c:pt>
                <c:pt idx="153">
                  <c:v>381.65596392356196</c:v>
                </c:pt>
                <c:pt idx="154">
                  <c:v>381.65596392356196</c:v>
                </c:pt>
                <c:pt idx="155">
                  <c:v>381.65596392356196</c:v>
                </c:pt>
                <c:pt idx="156">
                  <c:v>381.65596392356196</c:v>
                </c:pt>
                <c:pt idx="157">
                  <c:v>381.65596392356196</c:v>
                </c:pt>
                <c:pt idx="158">
                  <c:v>381.65596392356196</c:v>
                </c:pt>
                <c:pt idx="159">
                  <c:v>381.65596392356196</c:v>
                </c:pt>
                <c:pt idx="160">
                  <c:v>381.65596392356196</c:v>
                </c:pt>
                <c:pt idx="161">
                  <c:v>381.65596392356196</c:v>
                </c:pt>
                <c:pt idx="162">
                  <c:v>381.65596392356196</c:v>
                </c:pt>
                <c:pt idx="163">
                  <c:v>381.65596392356196</c:v>
                </c:pt>
                <c:pt idx="164">
                  <c:v>381.65596392356196</c:v>
                </c:pt>
                <c:pt idx="165">
                  <c:v>381.65596392356196</c:v>
                </c:pt>
                <c:pt idx="166">
                  <c:v>381.65596392356196</c:v>
                </c:pt>
                <c:pt idx="167">
                  <c:v>381.65596392356196</c:v>
                </c:pt>
                <c:pt idx="168">
                  <c:v>381.65596392356196</c:v>
                </c:pt>
                <c:pt idx="169">
                  <c:v>381.65596392356196</c:v>
                </c:pt>
                <c:pt idx="170">
                  <c:v>381.65596392356196</c:v>
                </c:pt>
                <c:pt idx="171">
                  <c:v>381.65596392356196</c:v>
                </c:pt>
                <c:pt idx="172">
                  <c:v>381.65596392356196</c:v>
                </c:pt>
                <c:pt idx="173">
                  <c:v>381.65596392356196</c:v>
                </c:pt>
                <c:pt idx="174">
                  <c:v>381.65596392356196</c:v>
                </c:pt>
                <c:pt idx="175">
                  <c:v>381.65596392356196</c:v>
                </c:pt>
                <c:pt idx="176">
                  <c:v>381.65596392356196</c:v>
                </c:pt>
                <c:pt idx="177">
                  <c:v>381.65596392356196</c:v>
                </c:pt>
                <c:pt idx="178">
                  <c:v>381.65596392356196</c:v>
                </c:pt>
                <c:pt idx="179">
                  <c:v>381.65596392356196</c:v>
                </c:pt>
                <c:pt idx="180">
                  <c:v>381.65596392356196</c:v>
                </c:pt>
                <c:pt idx="181">
                  <c:v>381.65596392356196</c:v>
                </c:pt>
                <c:pt idx="182">
                  <c:v>381.65596392356196</c:v>
                </c:pt>
                <c:pt idx="183">
                  <c:v>381.65596392356196</c:v>
                </c:pt>
                <c:pt idx="184">
                  <c:v>381.65596392356196</c:v>
                </c:pt>
                <c:pt idx="185">
                  <c:v>381.65596392356196</c:v>
                </c:pt>
                <c:pt idx="186">
                  <c:v>381.65596392356196</c:v>
                </c:pt>
                <c:pt idx="187">
                  <c:v>381.65596392356196</c:v>
                </c:pt>
                <c:pt idx="188">
                  <c:v>381.65596392356196</c:v>
                </c:pt>
                <c:pt idx="189">
                  <c:v>381.65596392356196</c:v>
                </c:pt>
                <c:pt idx="190">
                  <c:v>381.65596392356196</c:v>
                </c:pt>
                <c:pt idx="191">
                  <c:v>381.65596392356196</c:v>
                </c:pt>
                <c:pt idx="192">
                  <c:v>381.65596392356196</c:v>
                </c:pt>
                <c:pt idx="193">
                  <c:v>381.65596392356196</c:v>
                </c:pt>
                <c:pt idx="194">
                  <c:v>381.65596392356196</c:v>
                </c:pt>
                <c:pt idx="195">
                  <c:v>381.65596392356196</c:v>
                </c:pt>
                <c:pt idx="196">
                  <c:v>381.65596392356196</c:v>
                </c:pt>
                <c:pt idx="197">
                  <c:v>381.65596392356196</c:v>
                </c:pt>
                <c:pt idx="198">
                  <c:v>381.65596392356196</c:v>
                </c:pt>
                <c:pt idx="199">
                  <c:v>381.65596392356196</c:v>
                </c:pt>
                <c:pt idx="200">
                  <c:v>381.65596392356196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2.5822836422111366</c:v>
                </c:pt>
                <c:pt idx="2">
                  <c:v>3.0918035815284672</c:v>
                </c:pt>
                <c:pt idx="3">
                  <c:v>3.7022337622707653</c:v>
                </c:pt>
                <c:pt idx="4">
                  <c:v>4.4336295362791462</c:v>
                </c:pt>
                <c:pt idx="5">
                  <c:v>5.3100452071463202</c:v>
                </c:pt>
                <c:pt idx="6">
                  <c:v>6.3603338288932347</c:v>
                </c:pt>
                <c:pt idx="7">
                  <c:v>7.6191074146970825</c:v>
                </c:pt>
                <c:pt idx="8">
                  <c:v>9.127889810760573</c:v>
                </c:pt>
                <c:pt idx="9">
                  <c:v>10.93650099145758</c:v>
                </c:pt>
                <c:pt idx="10">
                  <c:v>13.104719346021051</c:v>
                </c:pt>
                <c:pt idx="11">
                  <c:v>15.70427791998471</c:v>
                </c:pt>
                <c:pt idx="12">
                  <c:v>18.82126186594877</c:v>
                </c:pt>
                <c:pt idx="13">
                  <c:v>22.558987932416557</c:v>
                </c:pt>
                <c:pt idx="14">
                  <c:v>27.041463138816312</c:v>
                </c:pt>
                <c:pt idx="15">
                  <c:v>32.417539405558351</c:v>
                </c:pt>
                <c:pt idx="16">
                  <c:v>38.865904499125939</c:v>
                </c:pt>
                <c:pt idx="17">
                  <c:v>46.601078018602493</c:v>
                </c:pt>
                <c:pt idx="18">
                  <c:v>55.880615259949991</c:v>
                </c:pt>
                <c:pt idx="19">
                  <c:v>67.013762812651535</c:v>
                </c:pt>
                <c:pt idx="20">
                  <c:v>80.371859071508723</c:v>
                </c:pt>
                <c:pt idx="21">
                  <c:v>90.780755313309626</c:v>
                </c:pt>
                <c:pt idx="22">
                  <c:v>101.159756563508</c:v>
                </c:pt>
                <c:pt idx="23">
                  <c:v>111.5123681968909</c:v>
                </c:pt>
                <c:pt idx="24">
                  <c:v>121.84138944928242</c:v>
                </c:pt>
                <c:pt idx="25">
                  <c:v>132.14910489975807</c:v>
                </c:pt>
                <c:pt idx="26">
                  <c:v>130.30991517841125</c:v>
                </c:pt>
                <c:pt idx="27">
                  <c:v>143.17159315460219</c:v>
                </c:pt>
                <c:pt idx="28">
                  <c:v>156.00559553023251</c:v>
                </c:pt>
                <c:pt idx="29">
                  <c:v>168.81452176155747</c:v>
                </c:pt>
                <c:pt idx="30">
                  <c:v>181.60054396431892</c:v>
                </c:pt>
                <c:pt idx="31">
                  <c:v>157.83692263801234</c:v>
                </c:pt>
                <c:pt idx="32">
                  <c:v>172.46992207510786</c:v>
                </c:pt>
                <c:pt idx="33">
                  <c:v>187.07372242622981</c:v>
                </c:pt>
                <c:pt idx="34">
                  <c:v>201.65092519188457</c:v>
                </c:pt>
                <c:pt idx="35">
                  <c:v>216.20372460175975</c:v>
                </c:pt>
                <c:pt idx="36">
                  <c:v>193.27214793812973</c:v>
                </c:pt>
                <c:pt idx="37">
                  <c:v>208.5664261543092</c:v>
                </c:pt>
                <c:pt idx="38">
                  <c:v>223.83481773691517</c:v>
                </c:pt>
                <c:pt idx="39">
                  <c:v>239.07933751109388</c:v>
                </c:pt>
                <c:pt idx="40">
                  <c:v>254.30172220416443</c:v>
                </c:pt>
                <c:pt idx="41">
                  <c:v>231.45994723108015</c:v>
                </c:pt>
                <c:pt idx="42">
                  <c:v>246.69319751240889</c:v>
                </c:pt>
                <c:pt idx="43">
                  <c:v>261.90509392198993</c:v>
                </c:pt>
                <c:pt idx="44">
                  <c:v>277.0970514904804</c:v>
                </c:pt>
                <c:pt idx="45">
                  <c:v>292.27031736625918</c:v>
                </c:pt>
                <c:pt idx="46">
                  <c:v>269.14176602787654</c:v>
                </c:pt>
                <c:pt idx="47">
                  <c:v>283.96339386484851</c:v>
                </c:pt>
                <c:pt idx="48">
                  <c:v>298.7677023889039</c:v>
                </c:pt>
                <c:pt idx="49">
                  <c:v>313.55567069110168</c:v>
                </c:pt>
                <c:pt idx="50">
                  <c:v>328.32817795481515</c:v>
                </c:pt>
                <c:pt idx="51">
                  <c:v>304.90122958502047</c:v>
                </c:pt>
                <c:pt idx="52">
                  <c:v>319.32234555972747</c:v>
                </c:pt>
                <c:pt idx="53">
                  <c:v>333.72904960580678</c:v>
                </c:pt>
                <c:pt idx="54">
                  <c:v>348.12205150612681</c:v>
                </c:pt>
                <c:pt idx="55">
                  <c:v>362.50199755720968</c:v>
                </c:pt>
                <c:pt idx="56">
                  <c:v>338.40824566131732</c:v>
                </c:pt>
                <c:pt idx="57">
                  <c:v>352.07781219018153</c:v>
                </c:pt>
                <c:pt idx="58">
                  <c:v>365.73574755728538</c:v>
                </c:pt>
                <c:pt idx="59">
                  <c:v>379.3825473151046</c:v>
                </c:pt>
                <c:pt idx="60">
                  <c:v>393.01866845402537</c:v>
                </c:pt>
                <c:pt idx="61">
                  <c:v>368.25045438962269</c:v>
                </c:pt>
                <c:pt idx="62">
                  <c:v>381.17737444442332</c:v>
                </c:pt>
                <c:pt idx="63">
                  <c:v>394.09476222315897</c:v>
                </c:pt>
                <c:pt idx="64">
                  <c:v>407.00297420734051</c:v>
                </c:pt>
                <c:pt idx="65">
                  <c:v>419.90234242068573</c:v>
                </c:pt>
                <c:pt idx="66">
                  <c:v>394.45344597932922</c:v>
                </c:pt>
                <c:pt idx="67">
                  <c:v>406.64453366510514</c:v>
                </c:pt>
                <c:pt idx="68">
                  <c:v>418.82772515146894</c:v>
                </c:pt>
                <c:pt idx="69">
                  <c:v>431.00328251520642</c:v>
                </c:pt>
                <c:pt idx="70">
                  <c:v>443.17145181723458</c:v>
                </c:pt>
                <c:pt idx="71">
                  <c:v>416.67831216352141</c:v>
                </c:pt>
                <c:pt idx="72">
                  <c:v>427.78106967818326</c:v>
                </c:pt>
                <c:pt idx="73">
                  <c:v>438.87763264294875</c:v>
                </c:pt>
                <c:pt idx="74">
                  <c:v>449.96817978008789</c:v>
                </c:pt>
                <c:pt idx="75">
                  <c:v>461.05288028198464</c:v>
                </c:pt>
                <c:pt idx="76">
                  <c:v>434.22497775587226</c:v>
                </c:pt>
                <c:pt idx="77">
                  <c:v>444.96027949966765</c:v>
                </c:pt>
                <c:pt idx="78">
                  <c:v>455.69003527221344</c:v>
                </c:pt>
                <c:pt idx="79">
                  <c:v>466.41439408694367</c:v>
                </c:pt>
                <c:pt idx="80">
                  <c:v>477.13349754486757</c:v>
                </c:pt>
                <c:pt idx="81">
                  <c:v>449.96817978008789</c:v>
                </c:pt>
                <c:pt idx="82">
                  <c:v>460.33791158124319</c:v>
                </c:pt>
                <c:pt idx="83">
                  <c:v>470.70265841989777</c:v>
                </c:pt>
                <c:pt idx="84">
                  <c:v>481.06254555421032</c:v>
                </c:pt>
                <c:pt idx="85">
                  <c:v>491.41769240661648</c:v>
                </c:pt>
                <c:pt idx="86">
                  <c:v>463.55508464541475</c:v>
                </c:pt>
                <c:pt idx="87">
                  <c:v>473.20376115624663</c:v>
                </c:pt>
                <c:pt idx="88">
                  <c:v>482.84825064496795</c:v>
                </c:pt>
                <c:pt idx="89">
                  <c:v>492.48864855160656</c:v>
                </c:pt>
                <c:pt idx="90">
                  <c:v>502.12504627431389</c:v>
                </c:pt>
                <c:pt idx="91">
                  <c:v>473.56103853531005</c:v>
                </c:pt>
                <c:pt idx="92">
                  <c:v>482.49112087009468</c:v>
                </c:pt>
                <c:pt idx="93">
                  <c:v>491.41769240661642</c:v>
                </c:pt>
                <c:pt idx="94">
                  <c:v>500.34082592690061</c:v>
                </c:pt>
                <c:pt idx="95">
                  <c:v>509.26059140461626</c:v>
                </c:pt>
                <c:pt idx="96">
                  <c:v>480.34822409968433</c:v>
                </c:pt>
                <c:pt idx="97">
                  <c:v>488.91860200532329</c:v>
                </c:pt>
                <c:pt idx="98">
                  <c:v>497.4857929384936</c:v>
                </c:pt>
                <c:pt idx="99">
                  <c:v>506.04985953638561</c:v>
                </c:pt>
                <c:pt idx="100">
                  <c:v>514.61086214265538</c:v>
                </c:pt>
                <c:pt idx="101">
                  <c:v>485.34800219417735</c:v>
                </c:pt>
                <c:pt idx="102">
                  <c:v>493.55955531546334</c:v>
                </c:pt>
                <c:pt idx="103">
                  <c:v>501.76821295558352</c:v>
                </c:pt>
                <c:pt idx="104">
                  <c:v>509.97402917745967</c:v>
                </c:pt>
                <c:pt idx="105">
                  <c:v>518.17705616178989</c:v>
                </c:pt>
                <c:pt idx="106">
                  <c:v>489.9896738522234</c:v>
                </c:pt>
                <c:pt idx="107">
                  <c:v>497.4857929384936</c:v>
                </c:pt>
                <c:pt idx="108">
                  <c:v>504.9795199898486</c:v>
                </c:pt>
                <c:pt idx="109">
                  <c:v>512.47089552301202</c:v>
                </c:pt>
                <c:pt idx="110">
                  <c:v>519.9599587731019</c:v>
                </c:pt>
                <c:pt idx="111">
                  <c:v>492.84562295362849</c:v>
                </c:pt>
                <c:pt idx="112">
                  <c:v>499.62710009899462</c:v>
                </c:pt>
                <c:pt idx="113">
                  <c:v>506.40662874127952</c:v>
                </c:pt>
                <c:pt idx="114">
                  <c:v>513.18423865736406</c:v>
                </c:pt>
                <c:pt idx="115">
                  <c:v>519.95995877310202</c:v>
                </c:pt>
                <c:pt idx="116">
                  <c:v>487.84748036508444</c:v>
                </c:pt>
                <c:pt idx="117">
                  <c:v>487.84748036508444</c:v>
                </c:pt>
                <c:pt idx="118">
                  <c:v>487.84748036508444</c:v>
                </c:pt>
                <c:pt idx="119">
                  <c:v>487.84748036508444</c:v>
                </c:pt>
                <c:pt idx="120">
                  <c:v>487.84748036508444</c:v>
                </c:pt>
                <c:pt idx="121">
                  <c:v>487.84748036508444</c:v>
                </c:pt>
                <c:pt idx="122">
                  <c:v>487.84748036508444</c:v>
                </c:pt>
                <c:pt idx="123">
                  <c:v>487.84748036508444</c:v>
                </c:pt>
                <c:pt idx="124">
                  <c:v>487.84748036508444</c:v>
                </c:pt>
                <c:pt idx="125">
                  <c:v>487.84748036508444</c:v>
                </c:pt>
                <c:pt idx="126">
                  <c:v>487.84748036508444</c:v>
                </c:pt>
                <c:pt idx="127">
                  <c:v>487.84748036508444</c:v>
                </c:pt>
                <c:pt idx="128">
                  <c:v>487.84748036508444</c:v>
                </c:pt>
                <c:pt idx="129">
                  <c:v>487.84748036508444</c:v>
                </c:pt>
                <c:pt idx="130">
                  <c:v>487.84748036508444</c:v>
                </c:pt>
                <c:pt idx="131">
                  <c:v>487.84748036508444</c:v>
                </c:pt>
                <c:pt idx="132">
                  <c:v>487.84748036508444</c:v>
                </c:pt>
                <c:pt idx="133">
                  <c:v>487.84748036508444</c:v>
                </c:pt>
                <c:pt idx="134">
                  <c:v>487.84748036508444</c:v>
                </c:pt>
                <c:pt idx="135">
                  <c:v>487.84748036508444</c:v>
                </c:pt>
                <c:pt idx="136">
                  <c:v>487.84748036508444</c:v>
                </c:pt>
                <c:pt idx="137">
                  <c:v>487.84748036508444</c:v>
                </c:pt>
                <c:pt idx="138">
                  <c:v>487.84748036508444</c:v>
                </c:pt>
                <c:pt idx="139">
                  <c:v>487.84748036508444</c:v>
                </c:pt>
                <c:pt idx="140">
                  <c:v>487.84748036508444</c:v>
                </c:pt>
                <c:pt idx="141">
                  <c:v>487.84748036508444</c:v>
                </c:pt>
                <c:pt idx="142">
                  <c:v>487.84748036508444</c:v>
                </c:pt>
                <c:pt idx="143">
                  <c:v>487.84748036508444</c:v>
                </c:pt>
                <c:pt idx="144">
                  <c:v>487.84748036508444</c:v>
                </c:pt>
                <c:pt idx="145">
                  <c:v>487.84748036508444</c:v>
                </c:pt>
                <c:pt idx="146">
                  <c:v>487.84748036508444</c:v>
                </c:pt>
                <c:pt idx="147">
                  <c:v>487.84748036508444</c:v>
                </c:pt>
                <c:pt idx="148">
                  <c:v>487.84748036508444</c:v>
                </c:pt>
                <c:pt idx="149">
                  <c:v>487.84748036508444</c:v>
                </c:pt>
                <c:pt idx="150">
                  <c:v>487.84748036508444</c:v>
                </c:pt>
                <c:pt idx="151">
                  <c:v>487.84748036508444</c:v>
                </c:pt>
                <c:pt idx="152">
                  <c:v>487.84748036508444</c:v>
                </c:pt>
                <c:pt idx="153">
                  <c:v>487.84748036508444</c:v>
                </c:pt>
                <c:pt idx="154">
                  <c:v>487.84748036508444</c:v>
                </c:pt>
                <c:pt idx="155">
                  <c:v>487.84748036508444</c:v>
                </c:pt>
                <c:pt idx="156">
                  <c:v>487.84748036508444</c:v>
                </c:pt>
                <c:pt idx="157">
                  <c:v>487.84748036508444</c:v>
                </c:pt>
                <c:pt idx="158">
                  <c:v>487.84748036508444</c:v>
                </c:pt>
                <c:pt idx="159">
                  <c:v>487.84748036508444</c:v>
                </c:pt>
                <c:pt idx="160">
                  <c:v>487.84748036508444</c:v>
                </c:pt>
                <c:pt idx="161">
                  <c:v>487.84748036508444</c:v>
                </c:pt>
                <c:pt idx="162">
                  <c:v>487.84748036508444</c:v>
                </c:pt>
                <c:pt idx="163">
                  <c:v>487.84748036508444</c:v>
                </c:pt>
                <c:pt idx="164">
                  <c:v>487.84748036508444</c:v>
                </c:pt>
                <c:pt idx="165">
                  <c:v>487.84748036508444</c:v>
                </c:pt>
                <c:pt idx="166">
                  <c:v>487.84748036508444</c:v>
                </c:pt>
                <c:pt idx="167">
                  <c:v>487.84748036508444</c:v>
                </c:pt>
                <c:pt idx="168">
                  <c:v>487.84748036508444</c:v>
                </c:pt>
                <c:pt idx="169">
                  <c:v>487.84748036508444</c:v>
                </c:pt>
                <c:pt idx="170">
                  <c:v>487.84748036508444</c:v>
                </c:pt>
                <c:pt idx="171">
                  <c:v>487.84748036508444</c:v>
                </c:pt>
                <c:pt idx="172">
                  <c:v>487.84748036508444</c:v>
                </c:pt>
                <c:pt idx="173">
                  <c:v>487.84748036508444</c:v>
                </c:pt>
                <c:pt idx="174">
                  <c:v>487.84748036508444</c:v>
                </c:pt>
                <c:pt idx="175">
                  <c:v>487.84748036508444</c:v>
                </c:pt>
                <c:pt idx="176">
                  <c:v>487.84748036508444</c:v>
                </c:pt>
                <c:pt idx="177">
                  <c:v>487.84748036508444</c:v>
                </c:pt>
                <c:pt idx="178">
                  <c:v>487.84748036508444</c:v>
                </c:pt>
                <c:pt idx="179">
                  <c:v>487.84748036508444</c:v>
                </c:pt>
                <c:pt idx="180">
                  <c:v>487.84748036508444</c:v>
                </c:pt>
                <c:pt idx="181">
                  <c:v>487.84748036508444</c:v>
                </c:pt>
                <c:pt idx="182">
                  <c:v>487.84748036508444</c:v>
                </c:pt>
                <c:pt idx="183">
                  <c:v>487.84748036508444</c:v>
                </c:pt>
                <c:pt idx="184">
                  <c:v>487.84748036508444</c:v>
                </c:pt>
                <c:pt idx="185">
                  <c:v>487.84748036508444</c:v>
                </c:pt>
                <c:pt idx="186">
                  <c:v>487.84748036508444</c:v>
                </c:pt>
                <c:pt idx="187">
                  <c:v>487.84748036508444</c:v>
                </c:pt>
                <c:pt idx="188">
                  <c:v>487.84748036508444</c:v>
                </c:pt>
                <c:pt idx="189">
                  <c:v>487.84748036508444</c:v>
                </c:pt>
                <c:pt idx="190">
                  <c:v>487.84748036508444</c:v>
                </c:pt>
                <c:pt idx="191">
                  <c:v>487.84748036508444</c:v>
                </c:pt>
                <c:pt idx="192">
                  <c:v>487.84748036508444</c:v>
                </c:pt>
                <c:pt idx="193">
                  <c:v>487.84748036508444</c:v>
                </c:pt>
                <c:pt idx="194">
                  <c:v>487.84748036508444</c:v>
                </c:pt>
                <c:pt idx="195">
                  <c:v>487.84748036508444</c:v>
                </c:pt>
                <c:pt idx="196">
                  <c:v>487.84748036508444</c:v>
                </c:pt>
                <c:pt idx="197">
                  <c:v>487.84748036508444</c:v>
                </c:pt>
                <c:pt idx="198">
                  <c:v>487.84748036508444</c:v>
                </c:pt>
                <c:pt idx="199">
                  <c:v>487.84748036508444</c:v>
                </c:pt>
                <c:pt idx="200">
                  <c:v>487.84748036508444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4" zoomScale="115" zoomScaleNormal="115" workbookViewId="0">
      <selection activeCell="B18" sqref="B18:M31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Normal="100" workbookViewId="0">
      <selection activeCell="G19" sqref="G19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13.84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13</v>
      </c>
      <c r="C9" s="264">
        <v>0.34146341463414637</v>
      </c>
      <c r="D9" s="33">
        <f t="shared" ref="D9:D18" si="0">C9*$C$5</f>
        <v>4.725853658536586</v>
      </c>
      <c r="E9" s="265">
        <v>70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45</v>
      </c>
      <c r="C10" s="264">
        <v>0.34146341463414637</v>
      </c>
      <c r="D10" s="33">
        <f t="shared" si="0"/>
        <v>4.725853658536586</v>
      </c>
      <c r="E10" s="265">
        <v>80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325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23</v>
      </c>
      <c r="C11" s="264">
        <v>0.14634146341463417</v>
      </c>
      <c r="D11" s="33">
        <f t="shared" si="0"/>
        <v>2.0253658536585366</v>
      </c>
      <c r="E11" s="265">
        <v>80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1</v>
      </c>
      <c r="C12" s="264">
        <v>7.3170731707317083E-2</v>
      </c>
      <c r="D12" s="33">
        <f t="shared" si="0"/>
        <v>1.0126829268292683</v>
      </c>
      <c r="E12" s="265">
        <v>80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325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22</v>
      </c>
      <c r="C13" s="32">
        <v>4.878048780487805E-2</v>
      </c>
      <c r="D13" s="33">
        <f t="shared" si="0"/>
        <v>0.67512195121951224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324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12</v>
      </c>
      <c r="C14" s="32">
        <v>2.4390243902439025E-2</v>
      </c>
      <c r="D14" s="33">
        <f t="shared" si="0"/>
        <v>0.33756097560975612</v>
      </c>
      <c r="E14" s="34">
        <v>115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325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4</v>
      </c>
      <c r="C15" s="32">
        <v>1.4634146341463415E-2</v>
      </c>
      <c r="D15" s="33">
        <f t="shared" si="0"/>
        <v>0.20253658536585367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G15" s="23" t="s">
        <v>325</v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11</v>
      </c>
      <c r="C16" s="32">
        <v>9.7560975609756097E-3</v>
      </c>
      <c r="D16" s="33">
        <f t="shared" si="0"/>
        <v>0.13502439024390245</v>
      </c>
      <c r="E16" s="34">
        <v>115</v>
      </c>
      <c r="F16" s="35" t="str">
        <f t="array" ref="F16">IF(E16="","",IF(INDEX(A:A,MAX(IF(ISNUMBER($A$218:$A$237),ROW($A$218:$A$237),"")))&lt;&gt;E16,"Corrigez : révolution incorrecte","OK"))</f>
        <v>OK</v>
      </c>
      <c r="G16" s="23" t="s">
        <v>325</v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1.0000000000000002</v>
      </c>
      <c r="D19" s="38">
        <f>SUM(D9:D18)</f>
        <v>13.840000000000003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rouge d'Amérique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15</v>
      </c>
      <c r="B36" s="259">
        <v>87</v>
      </c>
      <c r="C36" s="259">
        <v>1</v>
      </c>
      <c r="D36" s="259">
        <v>21</v>
      </c>
      <c r="E36" s="260"/>
      <c r="F36" s="260"/>
      <c r="G36" s="260"/>
      <c r="H36" s="260">
        <v>1</v>
      </c>
      <c r="I36" s="49">
        <f>IFERROR(B36/A36,"")</f>
        <v>5.8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20</v>
      </c>
      <c r="B37" s="259">
        <v>137</v>
      </c>
      <c r="C37" s="259">
        <v>2</v>
      </c>
      <c r="D37" s="259">
        <v>43</v>
      </c>
      <c r="E37" s="260"/>
      <c r="F37" s="260"/>
      <c r="G37" s="260"/>
      <c r="H37" s="260">
        <v>1</v>
      </c>
      <c r="I37" s="53">
        <f t="shared" ref="I37:I55" si="1">IF(A37&lt;&gt;0,(B37-(B36-D36))/(A37-A36),"")</f>
        <v>14.2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25</v>
      </c>
      <c r="B38" s="259">
        <v>163</v>
      </c>
      <c r="C38" s="259">
        <v>3</v>
      </c>
      <c r="D38" s="259">
        <v>44</v>
      </c>
      <c r="E38" s="260"/>
      <c r="F38" s="260"/>
      <c r="G38" s="260"/>
      <c r="H38" s="260">
        <v>1</v>
      </c>
      <c r="I38" s="53">
        <f t="shared" si="1"/>
        <v>13.8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30</v>
      </c>
      <c r="B39" s="259">
        <v>184</v>
      </c>
      <c r="C39" s="259">
        <v>4</v>
      </c>
      <c r="D39" s="259">
        <v>44</v>
      </c>
      <c r="E39" s="260"/>
      <c r="F39" s="260"/>
      <c r="G39" s="260"/>
      <c r="H39" s="260">
        <v>1</v>
      </c>
      <c r="I39" s="49">
        <f t="shared" si="1"/>
        <v>13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35</v>
      </c>
      <c r="B40" s="259">
        <v>201</v>
      </c>
      <c r="C40" s="259">
        <v>5</v>
      </c>
      <c r="D40" s="259">
        <v>42</v>
      </c>
      <c r="E40" s="260">
        <v>1</v>
      </c>
      <c r="F40" s="260"/>
      <c r="G40" s="260"/>
      <c r="H40" s="260"/>
      <c r="I40" s="49">
        <f t="shared" si="1"/>
        <v>12.2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40</v>
      </c>
      <c r="B41" s="259">
        <v>213</v>
      </c>
      <c r="C41" s="259">
        <v>6</v>
      </c>
      <c r="D41" s="259">
        <v>39</v>
      </c>
      <c r="E41" s="260">
        <v>1</v>
      </c>
      <c r="F41" s="260"/>
      <c r="G41" s="260"/>
      <c r="H41" s="260"/>
      <c r="I41" s="53">
        <f t="shared" si="1"/>
        <v>10.8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45</v>
      </c>
      <c r="B42" s="259">
        <v>223</v>
      </c>
      <c r="C42" s="259">
        <v>7</v>
      </c>
      <c r="D42" s="259">
        <v>36</v>
      </c>
      <c r="E42" s="260">
        <v>1</v>
      </c>
      <c r="F42" s="260"/>
      <c r="G42" s="260"/>
      <c r="H42" s="260"/>
      <c r="I42" s="53">
        <f t="shared" si="1"/>
        <v>9.8000000000000007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50</v>
      </c>
      <c r="B43" s="259">
        <v>231</v>
      </c>
      <c r="C43" s="259">
        <v>8</v>
      </c>
      <c r="D43" s="259">
        <v>33</v>
      </c>
      <c r="E43" s="260">
        <v>1</v>
      </c>
      <c r="F43" s="260"/>
      <c r="G43" s="260"/>
      <c r="H43" s="260"/>
      <c r="I43" s="49">
        <f t="shared" si="1"/>
        <v>8.8000000000000007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55</v>
      </c>
      <c r="B44" s="259">
        <v>237</v>
      </c>
      <c r="C44" s="259">
        <v>9</v>
      </c>
      <c r="D44" s="259">
        <v>29</v>
      </c>
      <c r="E44" s="260">
        <v>1</v>
      </c>
      <c r="F44" s="260"/>
      <c r="G44" s="260"/>
      <c r="H44" s="260"/>
      <c r="I44" s="49">
        <f t="shared" si="1"/>
        <v>7.8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60</v>
      </c>
      <c r="B45" s="261">
        <v>242</v>
      </c>
      <c r="C45" s="259">
        <v>10</v>
      </c>
      <c r="D45" s="261">
        <v>26</v>
      </c>
      <c r="E45" s="260">
        <v>1</v>
      </c>
      <c r="F45" s="260"/>
      <c r="G45" s="260"/>
      <c r="H45" s="260"/>
      <c r="I45" s="49">
        <f t="shared" si="1"/>
        <v>6.8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65</v>
      </c>
      <c r="B46" s="262">
        <v>246</v>
      </c>
      <c r="C46" s="259">
        <v>11</v>
      </c>
      <c r="D46" s="262">
        <v>23</v>
      </c>
      <c r="E46" s="260">
        <v>1</v>
      </c>
      <c r="F46" s="260"/>
      <c r="G46" s="260"/>
      <c r="H46" s="260"/>
      <c r="I46" s="49">
        <f t="shared" si="1"/>
        <v>6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70</v>
      </c>
      <c r="B47" s="261">
        <v>249</v>
      </c>
      <c r="C47" s="259"/>
      <c r="D47" s="261"/>
      <c r="E47" s="260"/>
      <c r="F47" s="260"/>
      <c r="G47" s="260"/>
      <c r="H47" s="260"/>
      <c r="I47" s="49">
        <f t="shared" si="1"/>
        <v>5.2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/>
      <c r="B48" s="261"/>
      <c r="C48" s="259"/>
      <c r="D48" s="261"/>
      <c r="E48" s="260"/>
      <c r="F48" s="260"/>
      <c r="G48" s="260"/>
      <c r="H48" s="260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/>
      <c r="B49" s="261"/>
      <c r="C49" s="259"/>
      <c r="D49" s="261"/>
      <c r="E49" s="260"/>
      <c r="F49" s="260"/>
      <c r="G49" s="260"/>
      <c r="H49" s="260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Sapin de Nordmann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15</v>
      </c>
      <c r="B62" s="261">
        <v>28</v>
      </c>
      <c r="C62" s="261"/>
      <c r="D62" s="261">
        <v>0</v>
      </c>
      <c r="E62" s="260"/>
      <c r="F62" s="260"/>
      <c r="G62" s="260"/>
      <c r="H62" s="260"/>
      <c r="I62" s="53">
        <f>IFERROR(B62/A62,"")</f>
        <v>1.8666666666666667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20</v>
      </c>
      <c r="B63" s="261">
        <v>128</v>
      </c>
      <c r="C63" s="261">
        <v>1</v>
      </c>
      <c r="D63" s="261">
        <v>3</v>
      </c>
      <c r="E63" s="260"/>
      <c r="F63" s="260"/>
      <c r="G63" s="260">
        <v>1</v>
      </c>
      <c r="H63" s="260"/>
      <c r="I63" s="49">
        <f>IF(A63&lt;&gt;0,(B63-(B62-D62))/(A63-A62),"")</f>
        <v>20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25</v>
      </c>
      <c r="B64" s="261">
        <v>245</v>
      </c>
      <c r="C64" s="261">
        <v>2</v>
      </c>
      <c r="D64" s="261">
        <v>63</v>
      </c>
      <c r="E64" s="260"/>
      <c r="F64" s="260">
        <v>1</v>
      </c>
      <c r="G64" s="260"/>
      <c r="H64" s="260"/>
      <c r="I64" s="49">
        <f>IF(A64&lt;&gt;0,(B64-(B63-D63))/(A64-A63),"")</f>
        <v>24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30</v>
      </c>
      <c r="B65" s="261">
        <v>309</v>
      </c>
      <c r="C65" s="261">
        <v>3</v>
      </c>
      <c r="D65" s="261">
        <v>63</v>
      </c>
      <c r="E65" s="260"/>
      <c r="F65" s="260">
        <v>1</v>
      </c>
      <c r="G65" s="260"/>
      <c r="H65" s="260"/>
      <c r="I65" s="49">
        <f>IF(A65&lt;&gt;0,(B65-(B64-D64))/(A65-A64),"")</f>
        <v>25.4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35</v>
      </c>
      <c r="B66" s="261">
        <v>374</v>
      </c>
      <c r="C66" s="261">
        <v>4</v>
      </c>
      <c r="D66" s="261">
        <v>63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25.6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40</v>
      </c>
      <c r="B67" s="261">
        <v>436</v>
      </c>
      <c r="C67" s="261">
        <v>5</v>
      </c>
      <c r="D67" s="261">
        <v>63</v>
      </c>
      <c r="E67" s="260">
        <v>1</v>
      </c>
      <c r="F67" s="260"/>
      <c r="G67" s="260"/>
      <c r="H67" s="260"/>
      <c r="I67" s="49">
        <f t="shared" si="2"/>
        <v>25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45</v>
      </c>
      <c r="B68" s="261">
        <v>494</v>
      </c>
      <c r="C68" s="261">
        <v>6</v>
      </c>
      <c r="D68" s="261">
        <v>63</v>
      </c>
      <c r="E68" s="260">
        <v>1</v>
      </c>
      <c r="F68" s="260"/>
      <c r="G68" s="260"/>
      <c r="H68" s="260"/>
      <c r="I68" s="49">
        <f t="shared" si="2"/>
        <v>24.2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50</v>
      </c>
      <c r="B69" s="261">
        <v>545</v>
      </c>
      <c r="C69" s="261">
        <v>7</v>
      </c>
      <c r="D69" s="261">
        <v>63</v>
      </c>
      <c r="E69" s="260">
        <v>1</v>
      </c>
      <c r="F69" s="260"/>
      <c r="G69" s="260"/>
      <c r="H69" s="260"/>
      <c r="I69" s="49">
        <f t="shared" si="2"/>
        <v>22.8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55</v>
      </c>
      <c r="B70" s="261">
        <v>590</v>
      </c>
      <c r="C70" s="261">
        <v>8</v>
      </c>
      <c r="D70" s="261">
        <v>63</v>
      </c>
      <c r="E70" s="260">
        <v>1</v>
      </c>
      <c r="F70" s="260"/>
      <c r="G70" s="260"/>
      <c r="H70" s="260"/>
      <c r="I70" s="49">
        <f t="shared" si="2"/>
        <v>21.6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60</v>
      </c>
      <c r="B71" s="261">
        <v>629</v>
      </c>
      <c r="C71" s="261">
        <v>9</v>
      </c>
      <c r="D71" s="261">
        <v>54</v>
      </c>
      <c r="E71" s="260">
        <v>1</v>
      </c>
      <c r="F71" s="260"/>
      <c r="G71" s="260"/>
      <c r="H71" s="260"/>
      <c r="I71" s="49">
        <f t="shared" si="2"/>
        <v>20.399999999999999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65</v>
      </c>
      <c r="B72" s="261">
        <v>671</v>
      </c>
      <c r="C72" s="261">
        <v>10</v>
      </c>
      <c r="D72" s="261">
        <v>50</v>
      </c>
      <c r="E72" s="260">
        <v>1</v>
      </c>
      <c r="F72" s="260"/>
      <c r="G72" s="260"/>
      <c r="H72" s="260"/>
      <c r="I72" s="49">
        <f t="shared" si="2"/>
        <v>19.2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70</v>
      </c>
      <c r="B73" s="261">
        <v>711</v>
      </c>
      <c r="C73" s="261">
        <v>11</v>
      </c>
      <c r="D73" s="261">
        <v>48</v>
      </c>
      <c r="E73" s="260">
        <v>1</v>
      </c>
      <c r="F73" s="260"/>
      <c r="G73" s="260"/>
      <c r="H73" s="260"/>
      <c r="I73" s="49">
        <f t="shared" si="2"/>
        <v>18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75</v>
      </c>
      <c r="B74" s="261">
        <v>747</v>
      </c>
      <c r="C74" s="261">
        <v>12</v>
      </c>
      <c r="D74" s="261">
        <v>47</v>
      </c>
      <c r="E74" s="260">
        <v>1</v>
      </c>
      <c r="F74" s="260"/>
      <c r="G74" s="260"/>
      <c r="H74" s="260"/>
      <c r="I74" s="49">
        <f t="shared" si="2"/>
        <v>16.8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80</v>
      </c>
      <c r="B75" s="261">
        <v>779</v>
      </c>
      <c r="C75" s="261">
        <v>13</v>
      </c>
      <c r="D75" s="261">
        <v>46</v>
      </c>
      <c r="E75" s="260">
        <v>1</v>
      </c>
      <c r="F75" s="260"/>
      <c r="G75" s="260"/>
      <c r="H75" s="260"/>
      <c r="I75" s="49">
        <f t="shared" si="2"/>
        <v>15.8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Erable sycomore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10</v>
      </c>
      <c r="B88" s="261">
        <v>11</v>
      </c>
      <c r="C88" s="261"/>
      <c r="D88" s="261">
        <v>0</v>
      </c>
      <c r="E88" s="260"/>
      <c r="F88" s="260"/>
      <c r="G88" s="260"/>
      <c r="H88" s="260"/>
      <c r="I88" s="53">
        <f>IFERROR(B88/A88,"")</f>
        <v>1.1000000000000001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15</v>
      </c>
      <c r="B89" s="261">
        <v>65</v>
      </c>
      <c r="C89" s="261">
        <v>1</v>
      </c>
      <c r="D89" s="261">
        <v>32</v>
      </c>
      <c r="E89" s="260"/>
      <c r="F89" s="260"/>
      <c r="G89" s="260"/>
      <c r="H89" s="260">
        <v>1</v>
      </c>
      <c r="I89" s="53">
        <f t="shared" ref="I89:I107" si="3">IF(A89&lt;&gt;0,(B89-(B88-D88))/(A89-A88),"")</f>
        <v>10.8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20</v>
      </c>
      <c r="B90" s="261">
        <v>102</v>
      </c>
      <c r="C90" s="261">
        <v>2</v>
      </c>
      <c r="D90" s="261">
        <v>35</v>
      </c>
      <c r="E90" s="260"/>
      <c r="F90" s="260"/>
      <c r="G90" s="260"/>
      <c r="H90" s="260">
        <v>1</v>
      </c>
      <c r="I90" s="53">
        <f t="shared" si="3"/>
        <v>13.8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25</v>
      </c>
      <c r="B91" s="261">
        <v>141</v>
      </c>
      <c r="C91" s="261">
        <v>3</v>
      </c>
      <c r="D91" s="261">
        <v>35</v>
      </c>
      <c r="E91" s="260"/>
      <c r="F91" s="260"/>
      <c r="G91" s="260"/>
      <c r="H91" s="260">
        <v>1</v>
      </c>
      <c r="I91" s="53">
        <f t="shared" si="3"/>
        <v>14.8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30</v>
      </c>
      <c r="B92" s="261">
        <v>177</v>
      </c>
      <c r="C92" s="261">
        <v>4</v>
      </c>
      <c r="D92" s="261">
        <v>35</v>
      </c>
      <c r="E92" s="260"/>
      <c r="F92" s="260"/>
      <c r="G92" s="260"/>
      <c r="H92" s="260">
        <v>1</v>
      </c>
      <c r="I92" s="53">
        <f t="shared" si="3"/>
        <v>14.2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35</v>
      </c>
      <c r="B93" s="261">
        <v>206</v>
      </c>
      <c r="C93" s="261">
        <v>5</v>
      </c>
      <c r="D93" s="261">
        <v>35</v>
      </c>
      <c r="E93" s="260">
        <v>1</v>
      </c>
      <c r="F93" s="260"/>
      <c r="G93" s="260"/>
      <c r="H93" s="260"/>
      <c r="I93" s="53">
        <f t="shared" si="3"/>
        <v>12.8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40</v>
      </c>
      <c r="B94" s="261">
        <v>228</v>
      </c>
      <c r="C94" s="261">
        <v>6</v>
      </c>
      <c r="D94" s="261">
        <v>35</v>
      </c>
      <c r="E94" s="260">
        <v>1</v>
      </c>
      <c r="F94" s="260"/>
      <c r="G94" s="260"/>
      <c r="H94" s="260"/>
      <c r="I94" s="53">
        <f t="shared" si="3"/>
        <v>11.4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45</v>
      </c>
      <c r="B95" s="261">
        <v>242</v>
      </c>
      <c r="C95" s="261">
        <v>7</v>
      </c>
      <c r="D95" s="261">
        <v>24</v>
      </c>
      <c r="E95" s="260">
        <v>1</v>
      </c>
      <c r="F95" s="260"/>
      <c r="G95" s="260"/>
      <c r="H95" s="260"/>
      <c r="I95" s="53">
        <f t="shared" si="3"/>
        <v>9.8000000000000007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50</v>
      </c>
      <c r="B96" s="261">
        <v>261</v>
      </c>
      <c r="C96" s="261">
        <v>8</v>
      </c>
      <c r="D96" s="261">
        <v>19</v>
      </c>
      <c r="E96" s="260">
        <v>1</v>
      </c>
      <c r="F96" s="260"/>
      <c r="G96" s="260"/>
      <c r="H96" s="260"/>
      <c r="I96" s="53">
        <f t="shared" si="3"/>
        <v>8.6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55</v>
      </c>
      <c r="B97" s="261">
        <v>279</v>
      </c>
      <c r="C97" s="261">
        <v>9</v>
      </c>
      <c r="D97" s="261">
        <v>16</v>
      </c>
      <c r="E97" s="260">
        <v>1</v>
      </c>
      <c r="F97" s="260"/>
      <c r="G97" s="260"/>
      <c r="H97" s="260"/>
      <c r="I97" s="53">
        <f t="shared" si="3"/>
        <v>7.4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60</v>
      </c>
      <c r="B98" s="261">
        <v>294</v>
      </c>
      <c r="C98" s="261">
        <v>10</v>
      </c>
      <c r="D98" s="261">
        <v>14</v>
      </c>
      <c r="E98" s="260">
        <v>1</v>
      </c>
      <c r="F98" s="260"/>
      <c r="G98" s="260"/>
      <c r="H98" s="260"/>
      <c r="I98" s="53">
        <f t="shared" si="3"/>
        <v>6.2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65</v>
      </c>
      <c r="B99" s="261">
        <v>306</v>
      </c>
      <c r="C99" s="261">
        <v>11</v>
      </c>
      <c r="D99" s="261">
        <v>13</v>
      </c>
      <c r="E99" s="260">
        <v>1</v>
      </c>
      <c r="F99" s="260"/>
      <c r="G99" s="260"/>
      <c r="H99" s="260"/>
      <c r="I99" s="53">
        <f t="shared" si="3"/>
        <v>5.2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70</v>
      </c>
      <c r="B100" s="261">
        <v>316</v>
      </c>
      <c r="C100" s="261">
        <v>12</v>
      </c>
      <c r="D100" s="261">
        <v>13</v>
      </c>
      <c r="E100" s="260">
        <v>1</v>
      </c>
      <c r="F100" s="260"/>
      <c r="G100" s="260"/>
      <c r="H100" s="260"/>
      <c r="I100" s="53">
        <f t="shared" si="3"/>
        <v>4.5999999999999996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75</v>
      </c>
      <c r="B101" s="261">
        <v>324</v>
      </c>
      <c r="C101" s="261">
        <v>13</v>
      </c>
      <c r="D101" s="261">
        <v>12</v>
      </c>
      <c r="E101" s="260">
        <v>1</v>
      </c>
      <c r="F101" s="260"/>
      <c r="G101" s="260"/>
      <c r="H101" s="260"/>
      <c r="I101" s="53">
        <f t="shared" si="3"/>
        <v>4.2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80</v>
      </c>
      <c r="B102" s="261">
        <v>330</v>
      </c>
      <c r="C102" s="261">
        <v>14</v>
      </c>
      <c r="D102" s="261">
        <v>11</v>
      </c>
      <c r="E102" s="260">
        <v>1</v>
      </c>
      <c r="F102" s="260"/>
      <c r="G102" s="260"/>
      <c r="H102" s="260"/>
      <c r="I102" s="53">
        <f t="shared" si="3"/>
        <v>3.6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Alisier torminal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15</v>
      </c>
      <c r="B114" s="261">
        <v>37</v>
      </c>
      <c r="C114" s="261">
        <v>1</v>
      </c>
      <c r="D114" s="261">
        <v>15</v>
      </c>
      <c r="E114" s="260"/>
      <c r="F114" s="260"/>
      <c r="G114" s="260"/>
      <c r="H114" s="260">
        <v>1</v>
      </c>
      <c r="I114" s="53">
        <f>IFERROR(B114/A114,"")</f>
        <v>2.4666666666666668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20</v>
      </c>
      <c r="B115" s="261">
        <v>80</v>
      </c>
      <c r="C115" s="261">
        <v>2</v>
      </c>
      <c r="D115" s="261">
        <v>28</v>
      </c>
      <c r="E115" s="260"/>
      <c r="F115" s="260"/>
      <c r="G115" s="260"/>
      <c r="H115" s="260">
        <v>1</v>
      </c>
      <c r="I115" s="53">
        <f t="shared" ref="I115:I126" si="4">IF(A115&lt;&gt;0,(B115-(B114-D114))/(A115-A114),"")</f>
        <v>11.6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25</v>
      </c>
      <c r="B116" s="261">
        <v>115</v>
      </c>
      <c r="C116" s="261">
        <v>3</v>
      </c>
      <c r="D116" s="261">
        <v>28</v>
      </c>
      <c r="E116" s="260"/>
      <c r="F116" s="260"/>
      <c r="G116" s="260"/>
      <c r="H116" s="260">
        <v>1</v>
      </c>
      <c r="I116" s="53">
        <f t="shared" si="4"/>
        <v>12.6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30</v>
      </c>
      <c r="B117" s="261">
        <v>146</v>
      </c>
      <c r="C117" s="261">
        <v>4</v>
      </c>
      <c r="D117" s="261">
        <v>28</v>
      </c>
      <c r="E117" s="260"/>
      <c r="F117" s="260"/>
      <c r="G117" s="260"/>
      <c r="H117" s="260">
        <v>1</v>
      </c>
      <c r="I117" s="53">
        <f t="shared" si="4"/>
        <v>11.8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35</v>
      </c>
      <c r="B118" s="261">
        <v>172</v>
      </c>
      <c r="C118" s="261">
        <v>5</v>
      </c>
      <c r="D118" s="261">
        <v>28</v>
      </c>
      <c r="E118" s="260">
        <v>1</v>
      </c>
      <c r="F118" s="260"/>
      <c r="G118" s="260"/>
      <c r="H118" s="260"/>
      <c r="I118" s="53">
        <f t="shared" si="4"/>
        <v>10.8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40</v>
      </c>
      <c r="B119" s="261">
        <v>192</v>
      </c>
      <c r="C119" s="261">
        <v>6</v>
      </c>
      <c r="D119" s="261">
        <v>28</v>
      </c>
      <c r="E119" s="260">
        <v>1</v>
      </c>
      <c r="F119" s="260"/>
      <c r="G119" s="260"/>
      <c r="H119" s="260"/>
      <c r="I119" s="53">
        <f t="shared" si="4"/>
        <v>9.6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45</v>
      </c>
      <c r="B120" s="261">
        <v>205</v>
      </c>
      <c r="C120" s="261">
        <v>7</v>
      </c>
      <c r="D120" s="261">
        <v>22</v>
      </c>
      <c r="E120" s="260">
        <v>1</v>
      </c>
      <c r="F120" s="260"/>
      <c r="G120" s="260"/>
      <c r="H120" s="260"/>
      <c r="I120" s="53">
        <f t="shared" si="4"/>
        <v>8.1999999999999993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50</v>
      </c>
      <c r="B121" s="261">
        <v>219</v>
      </c>
      <c r="C121" s="261">
        <v>8</v>
      </c>
      <c r="D121" s="261">
        <v>17</v>
      </c>
      <c r="E121" s="260">
        <v>1</v>
      </c>
      <c r="F121" s="260"/>
      <c r="G121" s="260"/>
      <c r="H121" s="260"/>
      <c r="I121" s="53">
        <f t="shared" si="4"/>
        <v>7.2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55</v>
      </c>
      <c r="B122" s="261">
        <v>232</v>
      </c>
      <c r="C122" s="261">
        <v>9</v>
      </c>
      <c r="D122" s="261">
        <v>13</v>
      </c>
      <c r="E122" s="260">
        <v>1</v>
      </c>
      <c r="F122" s="260"/>
      <c r="G122" s="260"/>
      <c r="H122" s="260"/>
      <c r="I122" s="53">
        <f t="shared" si="4"/>
        <v>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60</v>
      </c>
      <c r="B123" s="261">
        <v>245</v>
      </c>
      <c r="C123" s="261">
        <v>10</v>
      </c>
      <c r="D123" s="261">
        <v>12</v>
      </c>
      <c r="E123" s="260">
        <v>1</v>
      </c>
      <c r="F123" s="260"/>
      <c r="G123" s="260"/>
      <c r="H123" s="260"/>
      <c r="I123" s="53">
        <f t="shared" si="4"/>
        <v>5.2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65</v>
      </c>
      <c r="B124" s="261">
        <v>255</v>
      </c>
      <c r="C124" s="261">
        <v>11</v>
      </c>
      <c r="D124" s="261">
        <v>11</v>
      </c>
      <c r="E124" s="260">
        <v>1</v>
      </c>
      <c r="F124" s="260"/>
      <c r="G124" s="260"/>
      <c r="H124" s="260"/>
      <c r="I124" s="53">
        <f t="shared" si="4"/>
        <v>4.4000000000000004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70</v>
      </c>
      <c r="B125" s="261">
        <v>263</v>
      </c>
      <c r="C125" s="261">
        <v>12</v>
      </c>
      <c r="D125" s="261">
        <v>10</v>
      </c>
      <c r="E125" s="260">
        <v>1</v>
      </c>
      <c r="F125" s="260"/>
      <c r="G125" s="260"/>
      <c r="H125" s="260"/>
      <c r="I125" s="53">
        <f t="shared" si="4"/>
        <v>3.8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75</v>
      </c>
      <c r="B126" s="261">
        <v>270</v>
      </c>
      <c r="C126" s="261">
        <v>13</v>
      </c>
      <c r="D126" s="261">
        <v>9</v>
      </c>
      <c r="E126" s="260">
        <v>1</v>
      </c>
      <c r="F126" s="260"/>
      <c r="G126" s="260"/>
      <c r="H126" s="260"/>
      <c r="I126" s="53">
        <f t="shared" si="4"/>
        <v>3.4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80</v>
      </c>
      <c r="B127" s="261">
        <v>275</v>
      </c>
      <c r="C127" s="261">
        <v>14</v>
      </c>
      <c r="D127" s="261">
        <v>8</v>
      </c>
      <c r="E127" s="260">
        <v>1</v>
      </c>
      <c r="F127" s="260"/>
      <c r="G127" s="260"/>
      <c r="H127" s="260"/>
      <c r="I127" s="53">
        <f t="shared" ref="I127:I133" si="5">IF(A127&lt;&gt;0,(B127-(B126-D126))/(A127-A126),"")</f>
        <v>2.8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Erable plane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10</v>
      </c>
      <c r="B140" s="60">
        <v>11</v>
      </c>
      <c r="C140" s="50"/>
      <c r="D140" s="60">
        <v>0</v>
      </c>
      <c r="E140" s="51"/>
      <c r="F140" s="51"/>
      <c r="G140" s="51"/>
      <c r="H140" s="51"/>
      <c r="I140" s="57">
        <f>IFERROR(B140/A140,"")</f>
        <v>1.1000000000000001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15</v>
      </c>
      <c r="B141" s="60">
        <v>65</v>
      </c>
      <c r="C141" s="50">
        <v>1</v>
      </c>
      <c r="D141" s="60">
        <v>32</v>
      </c>
      <c r="E141" s="51"/>
      <c r="F141" s="51"/>
      <c r="G141" s="51"/>
      <c r="H141" s="51">
        <v>1</v>
      </c>
      <c r="I141" s="57">
        <f t="shared" ref="I141:I159" si="6">IF(A141&lt;&gt;0,(B141-(B140-D140))/(A141-A140),"")</f>
        <v>10.8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20</v>
      </c>
      <c r="B142" s="60">
        <v>102</v>
      </c>
      <c r="C142" s="50">
        <v>2</v>
      </c>
      <c r="D142" s="60">
        <v>35</v>
      </c>
      <c r="E142" s="51"/>
      <c r="F142" s="51"/>
      <c r="G142" s="51"/>
      <c r="H142" s="51">
        <v>1</v>
      </c>
      <c r="I142" s="57">
        <f t="shared" si="6"/>
        <v>13.8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25</v>
      </c>
      <c r="B143" s="60">
        <v>141</v>
      </c>
      <c r="C143" s="50">
        <v>3</v>
      </c>
      <c r="D143" s="60">
        <v>35</v>
      </c>
      <c r="E143" s="51"/>
      <c r="F143" s="51"/>
      <c r="G143" s="51"/>
      <c r="H143" s="51">
        <v>1</v>
      </c>
      <c r="I143" s="57">
        <f t="shared" si="6"/>
        <v>14.8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30</v>
      </c>
      <c r="B144" s="60">
        <v>177</v>
      </c>
      <c r="C144" s="50">
        <v>4</v>
      </c>
      <c r="D144" s="60">
        <v>35</v>
      </c>
      <c r="E144" s="51"/>
      <c r="F144" s="51"/>
      <c r="G144" s="51"/>
      <c r="H144" s="51">
        <v>1</v>
      </c>
      <c r="I144" s="57">
        <f t="shared" si="6"/>
        <v>14.2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35</v>
      </c>
      <c r="B145" s="60">
        <v>206</v>
      </c>
      <c r="C145" s="50">
        <v>5</v>
      </c>
      <c r="D145" s="60">
        <v>35</v>
      </c>
      <c r="E145" s="51">
        <v>1</v>
      </c>
      <c r="F145" s="51"/>
      <c r="G145" s="51"/>
      <c r="H145" s="51"/>
      <c r="I145" s="57">
        <f t="shared" si="6"/>
        <v>12.8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40</v>
      </c>
      <c r="B146" s="60">
        <v>228</v>
      </c>
      <c r="C146" s="50">
        <v>6</v>
      </c>
      <c r="D146" s="60">
        <v>35</v>
      </c>
      <c r="E146" s="51">
        <v>1</v>
      </c>
      <c r="F146" s="51"/>
      <c r="G146" s="51"/>
      <c r="H146" s="51"/>
      <c r="I146" s="57">
        <f t="shared" si="6"/>
        <v>11.4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45</v>
      </c>
      <c r="B147" s="60">
        <v>242</v>
      </c>
      <c r="C147" s="50">
        <v>7</v>
      </c>
      <c r="D147" s="60">
        <v>24</v>
      </c>
      <c r="E147" s="51">
        <v>1</v>
      </c>
      <c r="F147" s="51"/>
      <c r="G147" s="51"/>
      <c r="H147" s="51"/>
      <c r="I147" s="57">
        <f>IF(A147&lt;&gt;0,(B147-(B146-D146))/(A147-A146),"")</f>
        <v>9.8000000000000007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50</v>
      </c>
      <c r="B148" s="60">
        <v>261</v>
      </c>
      <c r="C148" s="50">
        <v>8</v>
      </c>
      <c r="D148" s="60">
        <v>19</v>
      </c>
      <c r="E148" s="51">
        <v>1</v>
      </c>
      <c r="F148" s="51"/>
      <c r="G148" s="51"/>
      <c r="H148" s="51"/>
      <c r="I148" s="57">
        <f t="shared" si="6"/>
        <v>8.6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55</v>
      </c>
      <c r="B149" s="60">
        <v>279</v>
      </c>
      <c r="C149" s="50">
        <v>9</v>
      </c>
      <c r="D149" s="60">
        <v>16</v>
      </c>
      <c r="E149" s="51">
        <v>1</v>
      </c>
      <c r="F149" s="51"/>
      <c r="G149" s="51"/>
      <c r="H149" s="51"/>
      <c r="I149" s="57">
        <f t="shared" si="6"/>
        <v>7.4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60</v>
      </c>
      <c r="B150" s="60">
        <v>294</v>
      </c>
      <c r="C150" s="50">
        <v>10</v>
      </c>
      <c r="D150" s="60">
        <v>14</v>
      </c>
      <c r="E150" s="51">
        <v>1</v>
      </c>
      <c r="F150" s="51"/>
      <c r="G150" s="51"/>
      <c r="H150" s="51"/>
      <c r="I150" s="57">
        <f t="shared" si="6"/>
        <v>6.2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65</v>
      </c>
      <c r="B151" s="60">
        <v>306</v>
      </c>
      <c r="C151" s="50">
        <v>11</v>
      </c>
      <c r="D151" s="60">
        <v>13</v>
      </c>
      <c r="E151" s="51">
        <v>1</v>
      </c>
      <c r="F151" s="51"/>
      <c r="G151" s="51"/>
      <c r="H151" s="51"/>
      <c r="I151" s="57">
        <f t="shared" si="6"/>
        <v>5.2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70</v>
      </c>
      <c r="B152" s="60">
        <v>316</v>
      </c>
      <c r="C152" s="50">
        <v>12</v>
      </c>
      <c r="D152" s="60">
        <v>13</v>
      </c>
      <c r="E152" s="54">
        <v>1</v>
      </c>
      <c r="F152" s="54"/>
      <c r="G152" s="54"/>
      <c r="H152" s="54"/>
      <c r="I152" s="57">
        <f t="shared" si="6"/>
        <v>4.5999999999999996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75</v>
      </c>
      <c r="B153" s="60">
        <v>324</v>
      </c>
      <c r="C153" s="50">
        <v>13</v>
      </c>
      <c r="D153" s="60">
        <v>12</v>
      </c>
      <c r="E153" s="54">
        <v>1</v>
      </c>
      <c r="F153" s="54"/>
      <c r="G153" s="54"/>
      <c r="H153" s="54"/>
      <c r="I153" s="57">
        <f t="shared" si="6"/>
        <v>4.2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80</v>
      </c>
      <c r="B154" s="56">
        <v>330</v>
      </c>
      <c r="C154" s="50">
        <v>14</v>
      </c>
      <c r="D154" s="50">
        <v>11</v>
      </c>
      <c r="E154" s="54">
        <v>1</v>
      </c>
      <c r="F154" s="54"/>
      <c r="G154" s="54"/>
      <c r="H154" s="54"/>
      <c r="I154" s="57">
        <f t="shared" si="6"/>
        <v>3.6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Chêne pubescent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20</v>
      </c>
      <c r="B166" s="60">
        <v>42</v>
      </c>
      <c r="C166" s="60"/>
      <c r="D166" s="60">
        <v>0</v>
      </c>
      <c r="E166" s="51"/>
      <c r="F166" s="51"/>
      <c r="G166" s="51"/>
      <c r="H166" s="51"/>
      <c r="I166" s="49">
        <f>IFERROR(B166/A166,"")</f>
        <v>2.1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25</v>
      </c>
      <c r="B167" s="60">
        <v>70</v>
      </c>
      <c r="C167" s="60">
        <v>1</v>
      </c>
      <c r="D167" s="60">
        <v>8</v>
      </c>
      <c r="E167" s="51"/>
      <c r="F167" s="51"/>
      <c r="G167" s="51"/>
      <c r="H167" s="51">
        <v>1</v>
      </c>
      <c r="I167" s="49">
        <f t="shared" ref="I167:I185" si="7">IF(A167&lt;&gt;0,(B167-(B166-D166))/(A167-A166),"")</f>
        <v>5.6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30</v>
      </c>
      <c r="B168" s="60">
        <v>97</v>
      </c>
      <c r="C168" s="60">
        <v>2</v>
      </c>
      <c r="D168" s="60">
        <v>21</v>
      </c>
      <c r="E168" s="51"/>
      <c r="F168" s="51"/>
      <c r="G168" s="51"/>
      <c r="H168" s="51">
        <v>1</v>
      </c>
      <c r="I168" s="49">
        <f t="shared" si="7"/>
        <v>7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35</v>
      </c>
      <c r="B169" s="60">
        <v>116</v>
      </c>
      <c r="C169" s="60">
        <v>3</v>
      </c>
      <c r="D169" s="60">
        <v>21</v>
      </c>
      <c r="E169" s="51">
        <v>1</v>
      </c>
      <c r="F169" s="51"/>
      <c r="G169" s="51"/>
      <c r="H169" s="51"/>
      <c r="I169" s="49">
        <f t="shared" si="7"/>
        <v>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40</v>
      </c>
      <c r="B170" s="60">
        <v>137</v>
      </c>
      <c r="C170" s="60">
        <v>4</v>
      </c>
      <c r="D170" s="60">
        <v>21</v>
      </c>
      <c r="E170" s="51">
        <v>1</v>
      </c>
      <c r="F170" s="51"/>
      <c r="G170" s="51"/>
      <c r="H170" s="51"/>
      <c r="I170" s="49">
        <f t="shared" si="7"/>
        <v>8.4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45</v>
      </c>
      <c r="B171" s="60">
        <v>158</v>
      </c>
      <c r="C171" s="60">
        <v>5</v>
      </c>
      <c r="D171" s="60">
        <v>21</v>
      </c>
      <c r="E171" s="51">
        <v>1</v>
      </c>
      <c r="F171" s="51"/>
      <c r="G171" s="51"/>
      <c r="H171" s="51"/>
      <c r="I171" s="49">
        <f t="shared" si="7"/>
        <v>8.4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50</v>
      </c>
      <c r="B172" s="60">
        <v>178</v>
      </c>
      <c r="C172" s="60">
        <v>6</v>
      </c>
      <c r="D172" s="60">
        <v>21</v>
      </c>
      <c r="E172" s="51">
        <v>1</v>
      </c>
      <c r="F172" s="51"/>
      <c r="G172" s="51"/>
      <c r="H172" s="51"/>
      <c r="I172" s="49">
        <f t="shared" si="7"/>
        <v>8.1999999999999993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55</v>
      </c>
      <c r="B173" s="50">
        <v>197</v>
      </c>
      <c r="C173" s="50">
        <v>7</v>
      </c>
      <c r="D173" s="50">
        <v>21</v>
      </c>
      <c r="E173" s="51">
        <v>1</v>
      </c>
      <c r="F173" s="51"/>
      <c r="G173" s="51"/>
      <c r="H173" s="51"/>
      <c r="I173" s="49">
        <f t="shared" si="7"/>
        <v>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60</v>
      </c>
      <c r="B174" s="50">
        <v>214</v>
      </c>
      <c r="C174" s="50">
        <v>8</v>
      </c>
      <c r="D174" s="50">
        <v>21</v>
      </c>
      <c r="E174" s="51">
        <v>1</v>
      </c>
      <c r="F174" s="51"/>
      <c r="G174" s="51"/>
      <c r="H174" s="51"/>
      <c r="I174" s="49">
        <f t="shared" si="7"/>
        <v>7.6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65</v>
      </c>
      <c r="B175" s="50">
        <v>229</v>
      </c>
      <c r="C175" s="50">
        <v>9</v>
      </c>
      <c r="D175" s="50">
        <v>21</v>
      </c>
      <c r="E175" s="51">
        <v>1</v>
      </c>
      <c r="F175" s="51"/>
      <c r="G175" s="51"/>
      <c r="H175" s="51"/>
      <c r="I175" s="49">
        <f t="shared" si="7"/>
        <v>7.2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70</v>
      </c>
      <c r="B176" s="50">
        <v>242</v>
      </c>
      <c r="C176" s="50">
        <v>10</v>
      </c>
      <c r="D176" s="50">
        <v>21</v>
      </c>
      <c r="E176" s="51">
        <v>1</v>
      </c>
      <c r="F176" s="51"/>
      <c r="G176" s="51"/>
      <c r="H176" s="51"/>
      <c r="I176" s="49">
        <f t="shared" si="7"/>
        <v>6.8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75</v>
      </c>
      <c r="B177" s="50">
        <v>252</v>
      </c>
      <c r="C177" s="50">
        <v>11</v>
      </c>
      <c r="D177" s="50">
        <v>21</v>
      </c>
      <c r="E177" s="51">
        <v>1</v>
      </c>
      <c r="F177" s="51"/>
      <c r="G177" s="51"/>
      <c r="H177" s="51"/>
      <c r="I177" s="49">
        <f t="shared" si="7"/>
        <v>6.2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80</v>
      </c>
      <c r="B178" s="50">
        <v>261</v>
      </c>
      <c r="C178" s="50">
        <v>12</v>
      </c>
      <c r="D178" s="50">
        <v>21</v>
      </c>
      <c r="E178" s="51">
        <v>1</v>
      </c>
      <c r="F178" s="51"/>
      <c r="G178" s="51"/>
      <c r="H178" s="51"/>
      <c r="I178" s="49">
        <f t="shared" si="7"/>
        <v>6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85</v>
      </c>
      <c r="B179" s="50">
        <v>269</v>
      </c>
      <c r="C179" s="50">
        <v>13</v>
      </c>
      <c r="D179" s="50">
        <v>21</v>
      </c>
      <c r="E179" s="51">
        <v>1</v>
      </c>
      <c r="F179" s="51"/>
      <c r="G179" s="51"/>
      <c r="H179" s="51"/>
      <c r="I179" s="49">
        <f t="shared" si="7"/>
        <v>5.8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90</v>
      </c>
      <c r="B180" s="50">
        <v>275</v>
      </c>
      <c r="C180" s="50">
        <v>14</v>
      </c>
      <c r="D180" s="50">
        <v>21</v>
      </c>
      <c r="E180" s="51">
        <v>1</v>
      </c>
      <c r="F180" s="51"/>
      <c r="G180" s="51"/>
      <c r="H180" s="51"/>
      <c r="I180" s="49">
        <f t="shared" si="7"/>
        <v>5.4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>
        <v>95</v>
      </c>
      <c r="B181" s="50">
        <v>279</v>
      </c>
      <c r="C181" s="50">
        <v>15</v>
      </c>
      <c r="D181" s="50">
        <v>21</v>
      </c>
      <c r="E181" s="51">
        <v>1</v>
      </c>
      <c r="F181" s="51"/>
      <c r="G181" s="51"/>
      <c r="H181" s="51"/>
      <c r="I181" s="49">
        <f t="shared" si="7"/>
        <v>5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>
        <v>100</v>
      </c>
      <c r="B182" s="50">
        <v>282</v>
      </c>
      <c r="C182" s="50">
        <v>16</v>
      </c>
      <c r="D182" s="50">
        <v>21</v>
      </c>
      <c r="E182" s="51">
        <v>1</v>
      </c>
      <c r="F182" s="51"/>
      <c r="G182" s="51"/>
      <c r="H182" s="51"/>
      <c r="I182" s="49">
        <f t="shared" si="7"/>
        <v>4.8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>
        <v>105</v>
      </c>
      <c r="B183" s="50">
        <v>284</v>
      </c>
      <c r="C183" s="50">
        <v>17</v>
      </c>
      <c r="D183" s="50">
        <v>20</v>
      </c>
      <c r="E183" s="51">
        <v>1</v>
      </c>
      <c r="F183" s="51"/>
      <c r="G183" s="51"/>
      <c r="H183" s="51"/>
      <c r="I183" s="49">
        <f t="shared" si="7"/>
        <v>4.5999999999999996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>
        <v>110</v>
      </c>
      <c r="B184" s="50">
        <v>285</v>
      </c>
      <c r="C184" s="50">
        <v>18</v>
      </c>
      <c r="D184" s="50">
        <v>19</v>
      </c>
      <c r="E184" s="51">
        <v>1</v>
      </c>
      <c r="F184" s="51"/>
      <c r="G184" s="51"/>
      <c r="H184" s="51"/>
      <c r="I184" s="49">
        <f t="shared" si="7"/>
        <v>4.2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>
        <v>115</v>
      </c>
      <c r="B185" s="50">
        <v>285</v>
      </c>
      <c r="C185" s="50">
        <v>19</v>
      </c>
      <c r="D185" s="50">
        <v>18</v>
      </c>
      <c r="E185" s="51">
        <v>1</v>
      </c>
      <c r="F185" s="51"/>
      <c r="G185" s="51"/>
      <c r="H185" s="51"/>
      <c r="I185" s="49">
        <f t="shared" si="7"/>
        <v>3.8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Aulne glutineux</v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15</v>
      </c>
      <c r="B192" s="60">
        <v>37</v>
      </c>
      <c r="C192" s="60">
        <v>1</v>
      </c>
      <c r="D192" s="60">
        <v>15</v>
      </c>
      <c r="E192" s="51"/>
      <c r="F192" s="51"/>
      <c r="G192" s="51"/>
      <c r="H192" s="51">
        <v>1</v>
      </c>
      <c r="I192" s="49">
        <f>IFERROR(B192/A192,"")</f>
        <v>2.4666666666666668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20</v>
      </c>
      <c r="B193" s="60">
        <v>80</v>
      </c>
      <c r="C193" s="60">
        <v>2</v>
      </c>
      <c r="D193" s="60">
        <v>28</v>
      </c>
      <c r="E193" s="51"/>
      <c r="F193" s="51"/>
      <c r="G193" s="51"/>
      <c r="H193" s="51">
        <v>1</v>
      </c>
      <c r="I193" s="49">
        <f t="shared" ref="I193:I211" si="8">IF(A193&lt;&gt;0,(B193-(B192-D192))/(A193-A192),"")</f>
        <v>11.6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25</v>
      </c>
      <c r="B194" s="60">
        <v>115</v>
      </c>
      <c r="C194" s="60">
        <v>3</v>
      </c>
      <c r="D194" s="60">
        <v>28</v>
      </c>
      <c r="E194" s="51"/>
      <c r="F194" s="51"/>
      <c r="G194" s="51"/>
      <c r="H194" s="51">
        <v>1</v>
      </c>
      <c r="I194" s="49">
        <f t="shared" si="8"/>
        <v>12.6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30</v>
      </c>
      <c r="B195" s="60">
        <v>146</v>
      </c>
      <c r="C195" s="60">
        <v>4</v>
      </c>
      <c r="D195" s="60">
        <v>28</v>
      </c>
      <c r="E195" s="51"/>
      <c r="F195" s="51"/>
      <c r="G195" s="51"/>
      <c r="H195" s="51">
        <v>1</v>
      </c>
      <c r="I195" s="49">
        <f t="shared" si="8"/>
        <v>11.8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35</v>
      </c>
      <c r="B196" s="60">
        <v>172</v>
      </c>
      <c r="C196" s="60">
        <v>5</v>
      </c>
      <c r="D196" s="60">
        <v>28</v>
      </c>
      <c r="E196" s="51">
        <v>1</v>
      </c>
      <c r="F196" s="51"/>
      <c r="G196" s="51"/>
      <c r="H196" s="51"/>
      <c r="I196" s="49">
        <f t="shared" si="8"/>
        <v>10.8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40</v>
      </c>
      <c r="B197" s="60">
        <v>192</v>
      </c>
      <c r="C197" s="60">
        <v>6</v>
      </c>
      <c r="D197" s="60">
        <v>28</v>
      </c>
      <c r="E197" s="51">
        <v>1</v>
      </c>
      <c r="F197" s="51"/>
      <c r="G197" s="51"/>
      <c r="H197" s="51"/>
      <c r="I197" s="49">
        <f t="shared" si="8"/>
        <v>9.6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45</v>
      </c>
      <c r="B198" s="60">
        <v>205</v>
      </c>
      <c r="C198" s="60">
        <v>7</v>
      </c>
      <c r="D198" s="60">
        <v>22</v>
      </c>
      <c r="E198" s="51">
        <v>1</v>
      </c>
      <c r="F198" s="51"/>
      <c r="G198" s="51"/>
      <c r="H198" s="51"/>
      <c r="I198" s="49">
        <f t="shared" si="8"/>
        <v>8.1999999999999993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50</v>
      </c>
      <c r="B199" s="50">
        <v>219</v>
      </c>
      <c r="C199" s="50">
        <v>8</v>
      </c>
      <c r="D199" s="50">
        <v>17</v>
      </c>
      <c r="E199" s="51">
        <v>1</v>
      </c>
      <c r="F199" s="51"/>
      <c r="G199" s="51"/>
      <c r="H199" s="51"/>
      <c r="I199" s="49">
        <f t="shared" si="8"/>
        <v>7.2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55</v>
      </c>
      <c r="B200" s="50">
        <v>232</v>
      </c>
      <c r="C200" s="50">
        <v>9</v>
      </c>
      <c r="D200" s="50">
        <v>13</v>
      </c>
      <c r="E200" s="51">
        <v>1</v>
      </c>
      <c r="F200" s="51"/>
      <c r="G200" s="51"/>
      <c r="H200" s="51"/>
      <c r="I200" s="49">
        <f t="shared" si="8"/>
        <v>6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60</v>
      </c>
      <c r="B201" s="50">
        <v>245</v>
      </c>
      <c r="C201" s="50">
        <v>10</v>
      </c>
      <c r="D201" s="50">
        <v>12</v>
      </c>
      <c r="E201" s="51">
        <v>1</v>
      </c>
      <c r="F201" s="51"/>
      <c r="G201" s="51"/>
      <c r="H201" s="51"/>
      <c r="I201" s="49">
        <f t="shared" si="8"/>
        <v>5.2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>
        <v>65</v>
      </c>
      <c r="B202" s="50">
        <v>255</v>
      </c>
      <c r="C202" s="50">
        <v>11</v>
      </c>
      <c r="D202" s="50">
        <v>11</v>
      </c>
      <c r="E202" s="51">
        <v>1</v>
      </c>
      <c r="F202" s="51"/>
      <c r="G202" s="51"/>
      <c r="H202" s="51"/>
      <c r="I202" s="49">
        <f t="shared" si="8"/>
        <v>4.4000000000000004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>
        <v>70</v>
      </c>
      <c r="B203" s="50">
        <v>263</v>
      </c>
      <c r="C203" s="50">
        <v>12</v>
      </c>
      <c r="D203" s="50">
        <v>10</v>
      </c>
      <c r="E203" s="51">
        <v>1</v>
      </c>
      <c r="F203" s="51"/>
      <c r="G203" s="51"/>
      <c r="H203" s="51"/>
      <c r="I203" s="49">
        <f t="shared" si="8"/>
        <v>3.8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>
        <v>75</v>
      </c>
      <c r="B204" s="50">
        <v>270</v>
      </c>
      <c r="C204" s="50">
        <v>13</v>
      </c>
      <c r="D204" s="50">
        <v>9</v>
      </c>
      <c r="E204" s="51">
        <v>1</v>
      </c>
      <c r="F204" s="51"/>
      <c r="G204" s="51"/>
      <c r="H204" s="51"/>
      <c r="I204" s="49">
        <f t="shared" si="8"/>
        <v>3.4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>
        <v>80</v>
      </c>
      <c r="B205" s="50">
        <v>275</v>
      </c>
      <c r="C205" s="50">
        <v>14</v>
      </c>
      <c r="D205" s="50">
        <v>8</v>
      </c>
      <c r="E205" s="51">
        <v>1</v>
      </c>
      <c r="F205" s="51"/>
      <c r="G205" s="51"/>
      <c r="H205" s="51"/>
      <c r="I205" s="49">
        <f t="shared" si="8"/>
        <v>2.8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Chêne pédonculé</v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20</v>
      </c>
      <c r="B218" s="60">
        <v>42</v>
      </c>
      <c r="C218" s="50"/>
      <c r="D218" s="60">
        <v>0</v>
      </c>
      <c r="E218" s="63"/>
      <c r="F218" s="63"/>
      <c r="G218" s="63"/>
      <c r="H218" s="63"/>
      <c r="I218" s="53">
        <f>IFERROR(B218/A218,"")</f>
        <v>2.1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25</v>
      </c>
      <c r="B219" s="60">
        <v>70</v>
      </c>
      <c r="C219" s="50">
        <v>1</v>
      </c>
      <c r="D219" s="60">
        <v>8</v>
      </c>
      <c r="E219" s="63"/>
      <c r="F219" s="63"/>
      <c r="G219" s="63"/>
      <c r="H219" s="63">
        <v>1</v>
      </c>
      <c r="I219" s="53">
        <f t="shared" ref="I219:I237" si="9">IF(A219&lt;&gt;0,(B219-(B218-D218))/(A219-A218),"")</f>
        <v>5.6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30</v>
      </c>
      <c r="B220" s="60">
        <v>97</v>
      </c>
      <c r="C220" s="50">
        <v>2</v>
      </c>
      <c r="D220" s="60">
        <v>21</v>
      </c>
      <c r="E220" s="63"/>
      <c r="F220" s="63"/>
      <c r="G220" s="63"/>
      <c r="H220" s="63">
        <v>1</v>
      </c>
      <c r="I220" s="53">
        <f t="shared" si="9"/>
        <v>7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>
        <v>35</v>
      </c>
      <c r="B221" s="55">
        <v>116</v>
      </c>
      <c r="C221" s="55">
        <v>3</v>
      </c>
      <c r="D221" s="55">
        <v>21</v>
      </c>
      <c r="E221" s="63">
        <v>1</v>
      </c>
      <c r="F221" s="63"/>
      <c r="G221" s="63"/>
      <c r="H221" s="63"/>
      <c r="I221" s="53">
        <f t="shared" si="9"/>
        <v>8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>
        <v>40</v>
      </c>
      <c r="B222" s="55">
        <v>137</v>
      </c>
      <c r="C222" s="55">
        <v>4</v>
      </c>
      <c r="D222" s="55">
        <v>21</v>
      </c>
      <c r="E222" s="63">
        <v>1</v>
      </c>
      <c r="F222" s="63"/>
      <c r="G222" s="63"/>
      <c r="H222" s="63"/>
      <c r="I222" s="53">
        <f t="shared" si="9"/>
        <v>8.4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>
        <v>45</v>
      </c>
      <c r="B223" s="55">
        <v>158</v>
      </c>
      <c r="C223" s="55">
        <v>5</v>
      </c>
      <c r="D223" s="55">
        <v>21</v>
      </c>
      <c r="E223" s="63">
        <v>1</v>
      </c>
      <c r="F223" s="63"/>
      <c r="G223" s="63"/>
      <c r="H223" s="63"/>
      <c r="I223" s="53">
        <f t="shared" si="9"/>
        <v>8.4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>
        <v>50</v>
      </c>
      <c r="B224" s="55">
        <v>178</v>
      </c>
      <c r="C224" s="55">
        <v>6</v>
      </c>
      <c r="D224" s="55">
        <v>21</v>
      </c>
      <c r="E224" s="63">
        <v>1</v>
      </c>
      <c r="F224" s="63"/>
      <c r="G224" s="63"/>
      <c r="H224" s="63"/>
      <c r="I224" s="53">
        <f t="shared" si="9"/>
        <v>8.1999999999999993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>
        <v>55</v>
      </c>
      <c r="B225" s="55">
        <v>197</v>
      </c>
      <c r="C225" s="55">
        <v>7</v>
      </c>
      <c r="D225" s="55">
        <v>21</v>
      </c>
      <c r="E225" s="63">
        <v>1</v>
      </c>
      <c r="F225" s="63"/>
      <c r="G225" s="63"/>
      <c r="H225" s="63"/>
      <c r="I225" s="53">
        <f t="shared" si="9"/>
        <v>8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>
        <v>60</v>
      </c>
      <c r="B226" s="55">
        <v>214</v>
      </c>
      <c r="C226" s="55">
        <v>8</v>
      </c>
      <c r="D226" s="55">
        <v>21</v>
      </c>
      <c r="E226" s="63">
        <v>1</v>
      </c>
      <c r="F226" s="63"/>
      <c r="G226" s="63"/>
      <c r="H226" s="63"/>
      <c r="I226" s="53">
        <f t="shared" si="9"/>
        <v>7.6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>
        <v>65</v>
      </c>
      <c r="B227" s="55">
        <v>229</v>
      </c>
      <c r="C227" s="55">
        <v>9</v>
      </c>
      <c r="D227" s="55">
        <v>21</v>
      </c>
      <c r="E227" s="63">
        <v>1</v>
      </c>
      <c r="F227" s="63"/>
      <c r="G227" s="63"/>
      <c r="H227" s="63"/>
      <c r="I227" s="53">
        <f t="shared" si="9"/>
        <v>7.2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>
        <v>70</v>
      </c>
      <c r="B228" s="55">
        <v>242</v>
      </c>
      <c r="C228" s="55">
        <v>10</v>
      </c>
      <c r="D228" s="55">
        <v>21</v>
      </c>
      <c r="E228" s="63">
        <v>1</v>
      </c>
      <c r="F228" s="63"/>
      <c r="G228" s="63"/>
      <c r="H228" s="63"/>
      <c r="I228" s="53">
        <f t="shared" si="9"/>
        <v>6.8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>
        <v>75</v>
      </c>
      <c r="B229" s="55">
        <v>252</v>
      </c>
      <c r="C229" s="55">
        <v>11</v>
      </c>
      <c r="D229" s="55">
        <v>21</v>
      </c>
      <c r="E229" s="63">
        <v>1</v>
      </c>
      <c r="F229" s="63"/>
      <c r="G229" s="63"/>
      <c r="H229" s="63"/>
      <c r="I229" s="53">
        <f t="shared" si="9"/>
        <v>6.2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>
        <v>80</v>
      </c>
      <c r="B230" s="55">
        <v>261</v>
      </c>
      <c r="C230" s="55">
        <v>12</v>
      </c>
      <c r="D230" s="55">
        <v>21</v>
      </c>
      <c r="E230" s="64">
        <v>1</v>
      </c>
      <c r="F230" s="64"/>
      <c r="G230" s="64"/>
      <c r="H230" s="64"/>
      <c r="I230" s="53">
        <f t="shared" si="9"/>
        <v>6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>
        <v>85</v>
      </c>
      <c r="B231" s="60">
        <v>269</v>
      </c>
      <c r="C231" s="86">
        <v>13</v>
      </c>
      <c r="D231" s="60">
        <v>21</v>
      </c>
      <c r="E231" s="54">
        <v>1</v>
      </c>
      <c r="F231" s="54"/>
      <c r="G231" s="54"/>
      <c r="H231" s="54"/>
      <c r="I231" s="53">
        <f t="shared" si="9"/>
        <v>5.8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>
        <v>90</v>
      </c>
      <c r="B232" s="50">
        <v>275</v>
      </c>
      <c r="C232" s="50">
        <v>14</v>
      </c>
      <c r="D232" s="50">
        <v>21</v>
      </c>
      <c r="E232" s="54">
        <v>1</v>
      </c>
      <c r="F232" s="54"/>
      <c r="G232" s="54"/>
      <c r="H232" s="54"/>
      <c r="I232" s="53">
        <f t="shared" si="9"/>
        <v>5.4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>
        <v>95</v>
      </c>
      <c r="B233" s="50">
        <v>279</v>
      </c>
      <c r="C233" s="50">
        <v>15</v>
      </c>
      <c r="D233" s="50">
        <v>21</v>
      </c>
      <c r="E233" s="54">
        <v>1</v>
      </c>
      <c r="F233" s="54"/>
      <c r="G233" s="54"/>
      <c r="H233" s="54"/>
      <c r="I233" s="53">
        <f t="shared" si="9"/>
        <v>5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>
        <v>100</v>
      </c>
      <c r="B234" s="50">
        <v>282</v>
      </c>
      <c r="C234" s="50">
        <v>16</v>
      </c>
      <c r="D234" s="50">
        <v>21</v>
      </c>
      <c r="E234" s="54">
        <v>1</v>
      </c>
      <c r="F234" s="54"/>
      <c r="G234" s="54"/>
      <c r="H234" s="54"/>
      <c r="I234" s="53">
        <f t="shared" si="9"/>
        <v>4.8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>
        <v>105</v>
      </c>
      <c r="B235" s="50">
        <v>284</v>
      </c>
      <c r="C235" s="50">
        <v>17</v>
      </c>
      <c r="D235" s="50">
        <v>20</v>
      </c>
      <c r="E235" s="54">
        <v>1</v>
      </c>
      <c r="F235" s="54"/>
      <c r="G235" s="54"/>
      <c r="H235" s="54"/>
      <c r="I235" s="53">
        <f t="shared" si="9"/>
        <v>4.5999999999999996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>
        <v>110</v>
      </c>
      <c r="B236" s="50">
        <v>285</v>
      </c>
      <c r="C236" s="50">
        <v>18</v>
      </c>
      <c r="D236" s="50">
        <v>19</v>
      </c>
      <c r="E236" s="54">
        <v>1</v>
      </c>
      <c r="F236" s="54"/>
      <c r="G236" s="54"/>
      <c r="H236" s="54"/>
      <c r="I236" s="53">
        <f t="shared" si="9"/>
        <v>4.2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>
        <v>115</v>
      </c>
      <c r="B237" s="50">
        <v>285</v>
      </c>
      <c r="C237" s="50">
        <v>19</v>
      </c>
      <c r="D237" s="50">
        <v>18</v>
      </c>
      <c r="E237" s="54">
        <v>1</v>
      </c>
      <c r="F237" s="54"/>
      <c r="G237" s="54"/>
      <c r="H237" s="54"/>
      <c r="I237" s="53">
        <f t="shared" si="9"/>
        <v>3.8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phoneticPr fontId="35" type="noConversion"/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F9" sqref="F9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Chêne rouge d'Amérique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Sapin de Nordmann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Erable sycomore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Alisier torminal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Erable plane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>Chêne pubescent</v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>Aulne glutineux</v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>Chêne pédonculé</v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253.73326067725128</v>
      </c>
      <c r="T3" s="59">
        <f>IF('Données projet'!E9&gt;30,$R$33-$H$33,LOOKUP('Données projet'!$E$9,$A$3:$A$203,R3:R203)-LOOKUP('Données projet'!$E$9,$A$3:$A$203,$H$3:$H$203))</f>
        <v>317.76427047458026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349.65790906807746</v>
      </c>
      <c r="AO3" s="59">
        <f>IF('Données projet'!E10&gt;30,$AM$33-$H$33,LOOKUP('Données projet'!$E$10,$A$3:$A$203,AM3:AM203)-LOOKUP('Données projet'!$E$10,$A$3:$A$203,$H$3:$H$203))</f>
        <v>291.88925884278888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279.49721661620544</v>
      </c>
      <c r="BJ3" s="59">
        <f>IF('Données projet'!E11&gt;30,$BH$33-$H$33,LOOKUP('Données projet'!$E$11,$A$3:$A$203,BH3:BH203)-LOOKUP('Données projet'!$E$11,$A$3:$A$203,$H$3:$H$203))</f>
        <v>275.18739333988754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281.84871057356037</v>
      </c>
      <c r="CE3" s="59">
        <f>IF('Données projet'!E12&gt;30,$CC$33-$H$33,LOOKUP('Données projet'!$E$12,$A$3:$A$203,CC3:CC203)-LOOKUP('Données projet'!$E$12,$A$3:$A$203,$H$3:$H$203))</f>
        <v>276.02211904126887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279.49721661620544</v>
      </c>
      <c r="CZ3" s="59">
        <f>IF('Données projet'!E13&gt;30,$CX$33-$H$33,LOOKUP('Données projet'!$E$13,$A$3:$A$203,CX3:CX203)-LOOKUP('Données projet'!$E$13,$A$3:$A$203,$H$3:$H$203))</f>
        <v>275.18739333988754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308.80022073574963</v>
      </c>
      <c r="DU3" s="59">
        <f>IF('Données projet'!E14&gt;30,$DS$33-$H$33,LOOKUP('Données projet'!$E$14,$A$3:$A$203,DS3:DS203)-LOOKUP('Données projet'!$E$14,$A$3:$A$203,$H$3:$H$203))</f>
        <v>183.96267407004115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178.71569711875242</v>
      </c>
      <c r="EP3" s="59">
        <f>IF('Données projet'!E15&gt;30,$EN$33-$H$33,LOOKUP('Données projet'!$E$15,$A$3:$A$203,EN3:EN203)-LOOKUP('Données projet'!$E$15,$A$3:$A$203,$H$3:$H$203))</f>
        <v>178.13848582064168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247.22536892257716</v>
      </c>
      <c r="FK3" s="59">
        <f>IF('Données projet'!E16&gt;30,$FI$33-$H$33,LOOKUP('Données projet'!$E$16,$A$3:$A$203,FI3:FI203)-LOOKUP('Données projet'!$E$16,$A$3:$A$203,$H$3:$H$203))</f>
        <v>147.97952262756075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6">
        <f t="shared" ref="H4:H67" si="1">(B4+E4+F4)*44/12+(C4+D4)*0.475*44/12</f>
        <v>294.5914728578652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5.8</v>
      </c>
      <c r="N4" s="13">
        <f>IF('Données projet'!$A$36&gt;35,N3+M4-V3,IF(A4&lt;'Données projet'!$A$36,$K$205^A4,IF(A4='Données projet'!$A$36,'Données projet'!$B$36,N3+M4-V3)))</f>
        <v>1.3467943429205997</v>
      </c>
      <c r="O4" s="13">
        <f>N4*VLOOKUP('Données projet'!$B$9,Paramètres!$A$1:$I$89,3,0)*VLOOKUP('Données projet'!$B$9,Paramètres!$A$1:$I$89,5,0)</f>
        <v>1.1765595379754361</v>
      </c>
      <c r="P4" s="13">
        <f>EXP(-1.0587+0.8836*LN(O4)+0.284)</f>
        <v>0.53204273185561757</v>
      </c>
      <c r="Q4" s="20">
        <f t="shared" ref="Q4:Q34" si="2">(O4+P4)*0.475*44/12</f>
        <v>2.9758156199557515</v>
      </c>
      <c r="R4" s="59">
        <f t="shared" si="0"/>
        <v>296.30914895328908</v>
      </c>
      <c r="S4" s="59">
        <f ca="1">AVERAGE(OFFSET($R$3,0,0,'Données projet'!$E$9+1,1))-AVERAGE(OFFSET($H$3,0,0,'Données projet'!$E$9+1,1))</f>
        <v>253.73326067725128</v>
      </c>
      <c r="T4" s="59">
        <f>$T$3</f>
        <v>317.76427047458026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1.8666666666666667</v>
      </c>
      <c r="AI4" s="13">
        <f>IF('Données projet'!$A$62&gt;35,AI3+AH4-AQ3,IF(A4&lt;'Données projet'!$A$62,$AF$205^A4,IF(A4='Données projet'!$A$62,'Données projet'!$B$62,AI3+AH4-AQ3)))</f>
        <v>1.2487548905696053</v>
      </c>
      <c r="AJ4" s="13">
        <f>AI4*VLOOKUP('Données projet'!$B$10,Paramètres!$A$1:$I$89,3,0)*VLOOKUP('Données projet'!$B$10,Paramètres!$A$1:$I$89,5,0)</f>
        <v>0.60065110236398012</v>
      </c>
      <c r="AK4" s="13">
        <f>EXP(-1.0587+0.8836*LN(AJ4)+0.284)</f>
        <v>0.29372621579825597</v>
      </c>
      <c r="AL4" s="20">
        <f t="shared" ref="AL4:AL67" si="4">(AJ4+AK4)*0.475*44/12</f>
        <v>1.5577071624658945</v>
      </c>
      <c r="AM4" s="59">
        <f t="shared" ref="AM4:AM67" si="5">AL4+(AD4+AE4)*44/12</f>
        <v>294.89104049579919</v>
      </c>
      <c r="AN4" s="59">
        <f ca="1">AVERAGE(OFFSET($AM$3,0,0,'Données projet'!$E$10+1,1))-AVERAGE(OFFSET($H$3,0,0,'Données projet'!$E$10+1,1))</f>
        <v>349.65790906807746</v>
      </c>
      <c r="AO4" s="59">
        <f>$AO$3</f>
        <v>291.88925884278888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1.1000000000000001</v>
      </c>
      <c r="BD4" s="12">
        <f>IF('Données projet'!$A$88&gt;35,BD3+BC4-BL3,IF(A4&lt;'Données projet'!$A$88,$BA$205^A4,IF(A4='Données projet'!$A$88,'Données projet'!$B$88,BD3+BC4-BL3)))</f>
        <v>1.2709816152101407</v>
      </c>
      <c r="BE4" s="13">
        <f>BD4*VLOOKUP('Données projet'!$B$11,Paramètres!$A$1:$I$89,3,0)*VLOOKUP('Données projet'!$B$11,Paramètres!$A$1:$I$89,5,0)</f>
        <v>1.0111929730611879</v>
      </c>
      <c r="BF4" s="13">
        <f>EXP(-1.0587+0.8836*LN(BE4)+0.284)</f>
        <v>0.46539683474213156</v>
      </c>
      <c r="BG4" s="20">
        <f t="shared" ref="BG4:BG67" si="7">(BE4+BF4)*0.475*44/12</f>
        <v>2.5717272485907814</v>
      </c>
      <c r="BH4" s="59">
        <f t="shared" ref="BH4:BH67" si="8">BG4+(AY4+AZ4)*44/12</f>
        <v>295.90506058192409</v>
      </c>
      <c r="BI4" s="59">
        <f ca="1">AVERAGE(OFFSET($BH$3,0,0,'Données projet'!$E$11+1,1))-AVERAGE(OFFSET($H$3,0,0,'Données projet'!$E$11+1,1))</f>
        <v>279.49721661620544</v>
      </c>
      <c r="BJ4" s="59">
        <f>$BJ$3</f>
        <v>275.18739333988754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2.4666666666666668</v>
      </c>
      <c r="BY4" s="12">
        <f>IF('Données projet'!$A$114&gt;35,BY3+BX4-CG3,IF(A4&lt;'Données projet'!$A$114,$BV$205^A4,IF(A4='Données projet'!$A$114,'Données projet'!$B$114,BY3+BX4-CG3)))</f>
        <v>1.2721747796233518</v>
      </c>
      <c r="BZ4" s="13">
        <f>BY4*VLOOKUP('Données projet'!$B$12,Paramètres!$A$1:$I$89,3,0)*VLOOKUP('Données projet'!$B$12,Paramètres!$A$1:$I$89,5,0)</f>
        <v>1.2304474468517059</v>
      </c>
      <c r="CA4" s="13">
        <f>EXP(-1.0587+0.8836*LN(BZ4)+0.284)</f>
        <v>0.55351805691893663</v>
      </c>
      <c r="CB4" s="20">
        <f t="shared" ref="CB4:CB67" si="10">(BZ4+CA4)*0.475*44/12</f>
        <v>3.1070732524005358</v>
      </c>
      <c r="CC4" s="59">
        <f t="shared" ref="CC4:CC67" si="11">CB4+(BT4+BU4)*44/12</f>
        <v>296.44040658573385</v>
      </c>
      <c r="CD4" s="59">
        <f ca="1">AVERAGE(OFFSET($CC$3,0,0,'Données projet'!$E$12+1,1))-AVERAGE(OFFSET($H$3,0,0,'Données projet'!$E$12+1,1))</f>
        <v>281.84871057356037</v>
      </c>
      <c r="CE4" s="59">
        <f>$CE$3</f>
        <v>276.02211904126887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1.1000000000000001</v>
      </c>
      <c r="CT4" s="12">
        <f>IF('Données projet'!$A$140&gt;35,CT3+CS4-DB3,IF(A4&lt;'Données projet'!$A$140,$CQ$205^A4,IF(A4='Données projet'!$A$140,'Données projet'!$B$140,CT3+CS4-DB3)))</f>
        <v>1.2709816152101407</v>
      </c>
      <c r="CU4" s="17">
        <f>CT4*VLOOKUP('Données projet'!$B$13,Paramètres!$A$1:$I$89,3,0)*VLOOKUP('Données projet'!$B$13,Paramètres!$A$1:$I$89,5,0)</f>
        <v>1.0111929730611879</v>
      </c>
      <c r="CV4" s="13">
        <f>EXP(-1.0587+0.8836*LN(CU4)+0.284)</f>
        <v>0.46539683474213156</v>
      </c>
      <c r="CW4" s="20">
        <f t="shared" ref="CW4:CW67" si="13">(CU4+CV4)*0.475*44/12</f>
        <v>2.5717272485907814</v>
      </c>
      <c r="CX4" s="59">
        <f t="shared" ref="CX4:CX67" si="14">CW4+(CO4+CP4)*44/12</f>
        <v>295.90506058192409</v>
      </c>
      <c r="CY4" s="59">
        <f ca="1">AVERAGE(OFFSET($CX$3,0,0,'Données projet'!$E$13+1,1))-AVERAGE(OFFSET($H$3,0,0,'Données projet'!$E$13+1,1))</f>
        <v>279.49721661620544</v>
      </c>
      <c r="CZ4" s="59">
        <f>$CZ$3</f>
        <v>275.18739333988754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2.1</v>
      </c>
      <c r="DO4" s="12">
        <f>IF('Données projet'!$A$166&gt;35,DO3+DN4-DW3,IF(A4&lt;'Données projet'!$A$166,$DL$205^A4,IF(A4='Données projet'!$A$166,'Données projet'!$B$166,DO3+DN4-DW3)))</f>
        <v>1.2054868146447177</v>
      </c>
      <c r="DP4" s="17">
        <f>DO4*VLOOKUP('Données projet'!$B$14,Paramètres!$A$1:$I$89,3,0)*VLOOKUP('Données projet'!$B$14,Paramètres!$A$1:$I$89,5,0)</f>
        <v>1.2223636300497438</v>
      </c>
      <c r="DQ4" s="13">
        <f>EXP(-1.0587+0.8836*LN(DP4)+0.284)</f>
        <v>0.55030360208821416</v>
      </c>
      <c r="DR4" s="20">
        <f t="shared" ref="DR4:DR67" si="16">(DP4+DQ4)*0.475*44/12</f>
        <v>3.0873954293069432</v>
      </c>
      <c r="DS4" s="59">
        <f t="shared" ref="DS4:DS67" si="17">DR4+(DJ4+DK4)*44/12</f>
        <v>296.42072876264024</v>
      </c>
      <c r="DT4" s="59">
        <f ca="1">AVERAGE(OFFSET($DS$3,0,0,'Données projet'!$E$14+1,1))-AVERAGE(OFFSET($H$3,0,0,'Données projet'!$E$14+1,1))</f>
        <v>308.80022073574963</v>
      </c>
      <c r="DU4" s="59">
        <f>$DU$3</f>
        <v>183.96267407004115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2.4666666666666668</v>
      </c>
      <c r="EJ4" s="12">
        <f>IF('Données projet'!$A$192&gt;35,EJ3+EI4-ER3,IF(A4&lt;'Données projet'!$A$192,$EG$205^A4,IF(A4='Données projet'!$A$192,'Données projet'!$B$192,EJ3+EI4-ER3)))</f>
        <v>1.2721747796233518</v>
      </c>
      <c r="EK4" s="17">
        <f>EJ4*VLOOKUP('Données projet'!$B$15,Paramètres!$A$1:$I$89,3,0)*VLOOKUP('Données projet'!$B$15,Paramètres!$A$1:$I$89,5,0)</f>
        <v>0.83352891560922016</v>
      </c>
      <c r="EL4" s="13">
        <f>EXP(-1.0587+0.8836*LN(EK4)+0.284)</f>
        <v>0.39235353441936577</v>
      </c>
      <c r="EM4" s="20">
        <f t="shared" ref="EM4:EM67" si="19">(EK4+EL4)*0.475*44/12</f>
        <v>2.1350786004664535</v>
      </c>
      <c r="EN4" s="59">
        <f t="shared" ref="EN4:EN67" si="20">EM4+(EE4+EF4)*44/12</f>
        <v>295.46841193379976</v>
      </c>
      <c r="EO4" s="59">
        <f ca="1">AVERAGE(OFFSET($EN$3,0,0,'Données projet'!$E$15+1,1))-AVERAGE(OFFSET($H$3,0,0,'Données projet'!$E$15+1,1))</f>
        <v>178.71569711875242</v>
      </c>
      <c r="EP4" s="59">
        <f>$EP$3</f>
        <v>178.13848582064168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2.1</v>
      </c>
      <c r="FE4" s="12">
        <f>IF('Données projet'!$A$218&gt;35,FE3+FD4-FM3,IF(A4&lt;'Données projet'!$A$218,$FB$205^A4,IF(A4='Données projet'!$A$218,'Données projet'!$B$218,FE3+FD4-FM3)))</f>
        <v>1.2054868146447177</v>
      </c>
      <c r="FF4" s="17">
        <f>FE4*VLOOKUP('Données projet'!$B$16,Paramètres!$A$1:$I$89,3,0)*VLOOKUP('Données projet'!$B$16,Paramètres!$A$1:$I$89,5,0)</f>
        <v>1.0155020926567102</v>
      </c>
      <c r="FG4" s="13">
        <f>EXP(-1.0587+0.8836*LN(FF4)+0.284)</f>
        <v>0.46714880239274614</v>
      </c>
      <c r="FH4" s="20">
        <f t="shared" ref="FH4:FH67" si="22">(FF4+FG4)*0.475*44/12</f>
        <v>2.5822836422111366</v>
      </c>
      <c r="FI4" s="59">
        <f t="shared" ref="FI4:FI67" si="23">FH4+(EZ4+FA4)*44/12</f>
        <v>295.91561697554442</v>
      </c>
      <c r="FJ4" s="59">
        <f ca="1">AVERAGE(OFFSET($FI$3,0,0,'Données projet'!$E$16+1,1))-AVERAGE(OFFSET($H$3,0,0,'Données projet'!$E$16+1,1))</f>
        <v>247.22536892257716</v>
      </c>
      <c r="FK4" s="59">
        <f>$FK$3</f>
        <v>147.97952262756075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6">
        <f t="shared" si="1"/>
        <v>295.78443952307919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5.8</v>
      </c>
      <c r="N5" s="13">
        <f>IF('Données projet'!$A$36&gt;35,N4+M5-V4,IF(A5&lt;'Données projet'!$A$36,$K$205^A5,IF(A5='Données projet'!$A$36,'Données projet'!$B$36,N4+M5-V4)))</f>
        <v>1.81385500212293</v>
      </c>
      <c r="O5" s="13">
        <f>N5*VLOOKUP('Données projet'!$B$9,Paramètres!$A$1:$I$89,3,0)*VLOOKUP('Données projet'!$B$9,Paramètres!$A$1:$I$89,5,0)</f>
        <v>1.5845837298545919</v>
      </c>
      <c r="P5" s="13">
        <f t="shared" ref="P5:P68" si="33">EXP(-1.0587+0.8836*LN(O5)+0.284)</f>
        <v>0.69214506839939893</v>
      </c>
      <c r="Q5" s="20">
        <f t="shared" si="2"/>
        <v>3.9653026569590337</v>
      </c>
      <c r="R5" s="59">
        <f t="shared" si="0"/>
        <v>297.29863599029233</v>
      </c>
      <c r="S5" s="59">
        <f ca="1">AVERAGE(OFFSET($R$3,0,0,'Données projet'!$E$9+1,1))-AVERAGE(OFFSET($H$3,0,0,'Données projet'!$E$9+1,1))</f>
        <v>253.73326067725128</v>
      </c>
      <c r="T5" s="59">
        <f t="shared" ref="T5:T68" si="34">$T$3</f>
        <v>317.76427047458026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1.8666666666666667</v>
      </c>
      <c r="AI5" s="13">
        <f>IF('Données projet'!$A$62&gt;35,AI4+AH5-AQ4,IF(A5&lt;'Données projet'!$A$62,$AF$205^A5,IF(A5='Données projet'!$A$62,'Données projet'!$B$62,AI4+AH5-AQ4)))</f>
        <v>1.5593887767215069</v>
      </c>
      <c r="AJ5" s="13">
        <f>AI5*VLOOKUP('Données projet'!$B$10,Paramètres!$A$1:$I$89,3,0)*VLOOKUP('Données projet'!$B$10,Paramètres!$A$1:$I$89,5,0)</f>
        <v>0.75006600160304482</v>
      </c>
      <c r="AK5" s="13">
        <f t="shared" ref="AK5:AK68" si="35">EXP(-1.0587+0.8836*LN(AJ5)+0.284)</f>
        <v>0.35742914798260211</v>
      </c>
      <c r="AL5" s="20">
        <f t="shared" si="4"/>
        <v>1.9288873855283348</v>
      </c>
      <c r="AM5" s="59">
        <f t="shared" si="5"/>
        <v>295.26222071886167</v>
      </c>
      <c r="AN5" s="59">
        <f ca="1">AVERAGE(OFFSET($AM$3,0,0,'Données projet'!$E$10+1,1))-AVERAGE(OFFSET($H$3,0,0,'Données projet'!$E$10+1,1))</f>
        <v>349.65790906807746</v>
      </c>
      <c r="AO5" s="59">
        <f t="shared" ref="AO5:AO68" si="36">$AO$3</f>
        <v>291.88925884278888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1.1000000000000001</v>
      </c>
      <c r="BD5" s="12">
        <f>IF('Données projet'!$A$88&gt;35,BD4+BC5-BL4,IF(A5&lt;'Données projet'!$A$88,$BA$205^A5,IF(A5='Données projet'!$A$88,'Données projet'!$B$88,BD4+BC5-BL4)))</f>
        <v>1.6153942662021783</v>
      </c>
      <c r="BE5" s="13">
        <f>BD5*VLOOKUP('Données projet'!$B$11,Paramètres!$A$1:$I$89,3,0)*VLOOKUP('Données projet'!$B$11,Paramètres!$A$1:$I$89,5,0)</f>
        <v>1.2852076781904531</v>
      </c>
      <c r="BF5" s="13">
        <f t="shared" ref="BF5:BF68" si="37">EXP(-1.0587+0.8836*LN(BE5)+0.284)</f>
        <v>0.57522914588482876</v>
      </c>
      <c r="BG5" s="20">
        <f t="shared" si="7"/>
        <v>3.2402608019311159</v>
      </c>
      <c r="BH5" s="59">
        <f t="shared" si="8"/>
        <v>296.57359413526444</v>
      </c>
      <c r="BI5" s="59">
        <f ca="1">AVERAGE(OFFSET($BH$3,0,0,'Données projet'!$E$11+1,1))-AVERAGE(OFFSET($H$3,0,0,'Données projet'!$E$11+1,1))</f>
        <v>279.49721661620544</v>
      </c>
      <c r="BJ5" s="59">
        <f t="shared" ref="BJ5:BJ68" si="38">$BJ$3</f>
        <v>275.18739333988754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2.4666666666666668</v>
      </c>
      <c r="BY5" s="12">
        <f>IF('Données projet'!$A$114&gt;35,BY4+BX5-CG4,IF(A5&lt;'Données projet'!$A$114,$BV$205^A5,IF(A5='Données projet'!$A$114,'Données projet'!$B$114,BY4+BX5-CG4)))</f>
        <v>1.6184286699097237</v>
      </c>
      <c r="BZ5" s="13">
        <f>BY5*VLOOKUP('Données projet'!$B$12,Paramètres!$A$1:$I$89,3,0)*VLOOKUP('Données projet'!$B$12,Paramètres!$A$1:$I$89,5,0)</f>
        <v>1.565344209536685</v>
      </c>
      <c r="CA5" s="13">
        <f t="shared" ref="CA5:CA68" si="39">EXP(-1.0587+0.8836*LN(BZ5)+0.284)</f>
        <v>0.68471419157488067</v>
      </c>
      <c r="CB5" s="20">
        <f t="shared" si="10"/>
        <v>3.9188517152693092</v>
      </c>
      <c r="CC5" s="59">
        <f t="shared" si="11"/>
        <v>297.2521850486026</v>
      </c>
      <c r="CD5" s="59">
        <f ca="1">AVERAGE(OFFSET($CC$3,0,0,'Données projet'!$E$12+1,1))-AVERAGE(OFFSET($H$3,0,0,'Données projet'!$E$12+1,1))</f>
        <v>281.84871057356037</v>
      </c>
      <c r="CE5" s="59">
        <f t="shared" ref="CE5:CE68" si="40">$CE$3</f>
        <v>276.02211904126887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1.1000000000000001</v>
      </c>
      <c r="CT5" s="12">
        <f>IF('Données projet'!$A$140&gt;35,CT4+CS5-DB4,IF(A5&lt;'Données projet'!$A$140,$CQ$205^A5,IF(A5='Données projet'!$A$140,'Données projet'!$B$140,CT4+CS5-DB4)))</f>
        <v>1.6153942662021783</v>
      </c>
      <c r="CU5" s="17">
        <f>CT5*VLOOKUP('Données projet'!$B$13,Paramètres!$A$1:$I$89,3,0)*VLOOKUP('Données projet'!$B$13,Paramètres!$A$1:$I$89,5,0)</f>
        <v>1.2852076781904531</v>
      </c>
      <c r="CV5" s="13">
        <f t="shared" ref="CV5:CV68" si="41">EXP(-1.0587+0.8836*LN(CU5)+0.284)</f>
        <v>0.57522914588482876</v>
      </c>
      <c r="CW5" s="20">
        <f t="shared" si="13"/>
        <v>3.2402608019311159</v>
      </c>
      <c r="CX5" s="59">
        <f t="shared" si="14"/>
        <v>296.57359413526444</v>
      </c>
      <c r="CY5" s="59">
        <f ca="1">AVERAGE(OFFSET($CX$3,0,0,'Données projet'!$E$13+1,1))-AVERAGE(OFFSET($H$3,0,0,'Données projet'!$E$13+1,1))</f>
        <v>279.49721661620544</v>
      </c>
      <c r="CZ5" s="59">
        <f t="shared" ref="CZ5:CZ68" si="42">$CZ$3</f>
        <v>275.18739333988754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2.1</v>
      </c>
      <c r="DO5" s="12">
        <f>IF('Données projet'!$A$166&gt;35,DO4+DN5-DW4,IF(A5&lt;'Données projet'!$A$166,$DL$205^A5,IF(A5='Données projet'!$A$166,'Données projet'!$B$166,DO4+DN5-DW4)))</f>
        <v>1.4531984602822681</v>
      </c>
      <c r="DP5" s="17">
        <f>DO5*VLOOKUP('Données projet'!$B$14,Paramètres!$A$1:$I$89,3,0)*VLOOKUP('Données projet'!$B$14,Paramètres!$A$1:$I$89,5,0)</f>
        <v>1.47354323872622</v>
      </c>
      <c r="DQ5" s="13">
        <f t="shared" ref="DQ5:DQ68" si="43">EXP(-1.0587+0.8836*LN(DP5)+0.284)</f>
        <v>0.64910881835703094</v>
      </c>
      <c r="DR5" s="20">
        <f t="shared" si="16"/>
        <v>3.6969523327533285</v>
      </c>
      <c r="DS5" s="59">
        <f t="shared" si="17"/>
        <v>297.03028566608663</v>
      </c>
      <c r="DT5" s="59">
        <f ca="1">AVERAGE(OFFSET($DS$3,0,0,'Données projet'!$E$14+1,1))-AVERAGE(OFFSET($H$3,0,0,'Données projet'!$E$14+1,1))</f>
        <v>308.80022073574963</v>
      </c>
      <c r="DU5" s="59">
        <f t="shared" ref="DU5:DU68" si="44">$DU$3</f>
        <v>183.96267407004115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2.4666666666666668</v>
      </c>
      <c r="EJ5" s="12">
        <f>IF('Données projet'!$A$192&gt;35,EJ4+EI5-ER4,IF(A5&lt;'Données projet'!$A$192,$EG$205^A5,IF(A5='Données projet'!$A$192,'Données projet'!$B$192,EJ4+EI5-ER4)))</f>
        <v>1.6184286699097237</v>
      </c>
      <c r="EK5" s="17">
        <f>EJ5*VLOOKUP('Données projet'!$B$15,Paramètres!$A$1:$I$89,3,0)*VLOOKUP('Données projet'!$B$15,Paramètres!$A$1:$I$89,5,0)</f>
        <v>1.0603944645248509</v>
      </c>
      <c r="EL5" s="13">
        <f t="shared" ref="EL5:EL68" si="45">EXP(-1.0587+0.8836*LN(EK5)+0.284)</f>
        <v>0.48535007986351425</v>
      </c>
      <c r="EM5" s="20">
        <f t="shared" si="19"/>
        <v>2.6921717481430694</v>
      </c>
      <c r="EN5" s="59">
        <f t="shared" si="20"/>
        <v>296.02550508147641</v>
      </c>
      <c r="EO5" s="59">
        <f ca="1">AVERAGE(OFFSET($EN$3,0,0,'Données projet'!$E$15+1,1))-AVERAGE(OFFSET($H$3,0,0,'Données projet'!$E$15+1,1))</f>
        <v>178.71569711875242</v>
      </c>
      <c r="EP5" s="59">
        <f t="shared" ref="EP5:EP68" si="46">$EP$3</f>
        <v>178.13848582064168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2.1</v>
      </c>
      <c r="FE5" s="12">
        <f>IF('Données projet'!$A$218&gt;35,FE4+FD5-FM4,IF(A5&lt;'Données projet'!$A$218,$FB$205^A5,IF(A5='Données projet'!$A$218,'Données projet'!$B$218,FE4+FD5-FM4)))</f>
        <v>1.4531984602822681</v>
      </c>
      <c r="FF5" s="17">
        <f>FE5*VLOOKUP('Données projet'!$B$16,Paramètres!$A$1:$I$89,3,0)*VLOOKUP('Données projet'!$B$16,Paramètres!$A$1:$I$89,5,0)</f>
        <v>1.2241743829417828</v>
      </c>
      <c r="FG5" s="13">
        <f t="shared" ref="FG5:FG68" si="47">EXP(-1.0587+0.8836*LN(FF5)+0.284)</f>
        <v>0.55102384568700224</v>
      </c>
      <c r="FH5" s="20">
        <f t="shared" si="22"/>
        <v>3.0918035815284672</v>
      </c>
      <c r="FI5" s="59">
        <f t="shared" si="23"/>
        <v>296.42513691486181</v>
      </c>
      <c r="FJ5" s="59">
        <f ca="1">AVERAGE(OFFSET($FI$3,0,0,'Données projet'!$E$16+1,1))-AVERAGE(OFFSET($H$3,0,0,'Données projet'!$E$16+1,1))</f>
        <v>247.22536892257716</v>
      </c>
      <c r="FK5" s="59">
        <f t="shared" ref="FK5:FK68" si="48">$FK$3</f>
        <v>147.97952262756075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6">
        <f t="shared" si="1"/>
        <v>296.95635862620634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5.8</v>
      </c>
      <c r="N6" s="13">
        <f>IF('Données projet'!$A$36&gt;35,N5+M6-V5,IF(A6&lt;'Données projet'!$A$36,$K$205^A6,IF(A6='Données projet'!$A$36,'Données projet'!$B$36,N5+M6-V5)))</f>
        <v>2.4428896557373947</v>
      </c>
      <c r="O6" s="13">
        <f>N6*VLOOKUP('Données projet'!$B$9,Paramètres!$A$1:$I$89,3,0)*VLOOKUP('Données projet'!$B$9,Paramètres!$A$1:$I$89,5,0)</f>
        <v>2.1341084032521884</v>
      </c>
      <c r="P6" s="13">
        <f t="shared" si="33"/>
        <v>0.90042541139273424</v>
      </c>
      <c r="Q6" s="20">
        <f t="shared" si="2"/>
        <v>5.2851463938399075</v>
      </c>
      <c r="R6" s="59">
        <f t="shared" si="0"/>
        <v>298.61847972717322</v>
      </c>
      <c r="S6" s="59">
        <f ca="1">AVERAGE(OFFSET($R$3,0,0,'Données projet'!$E$9+1,1))-AVERAGE(OFFSET($H$3,0,0,'Données projet'!$E$9+1,1))</f>
        <v>253.73326067725128</v>
      </c>
      <c r="T6" s="59">
        <f t="shared" si="34"/>
        <v>317.76427047458026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1.8666666666666667</v>
      </c>
      <c r="AI6" s="13">
        <f>IF('Données projet'!$A$62&gt;35,AI5+AH6-AQ5,IF(A6&lt;'Données projet'!$A$62,$AF$205^A6,IF(A6='Données projet'!$A$62,'Données projet'!$B$62,AI5+AH6-AQ5)))</f>
        <v>1.9472943612303359</v>
      </c>
      <c r="AJ6" s="13">
        <f>AI6*VLOOKUP('Données projet'!$B$10,Paramètres!$A$1:$I$89,3,0)*VLOOKUP('Données projet'!$B$10,Paramètres!$A$1:$I$89,5,0)</f>
        <v>0.93664858775179172</v>
      </c>
      <c r="AK6" s="13">
        <f t="shared" si="35"/>
        <v>0.43494788328773831</v>
      </c>
      <c r="AL6" s="20">
        <f t="shared" si="4"/>
        <v>2.3888638537271816</v>
      </c>
      <c r="AM6" s="59">
        <f t="shared" si="5"/>
        <v>295.72219718706049</v>
      </c>
      <c r="AN6" s="59">
        <f ca="1">AVERAGE(OFFSET($AM$3,0,0,'Données projet'!$E$10+1,1))-AVERAGE(OFFSET($H$3,0,0,'Données projet'!$E$10+1,1))</f>
        <v>349.65790906807746</v>
      </c>
      <c r="AO6" s="59">
        <f t="shared" si="36"/>
        <v>291.88925884278888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1.1000000000000001</v>
      </c>
      <c r="BD6" s="12">
        <f>IF('Données projet'!$A$88&gt;35,BD5+BC6-BL5,IF(A6&lt;'Données projet'!$A$88,$BA$205^A6,IF(A6='Données projet'!$A$88,'Données projet'!$B$88,BD5+BC6-BL5)))</f>
        <v>2.0531364136588448</v>
      </c>
      <c r="BE6" s="13">
        <f>BD6*VLOOKUP('Données projet'!$B$11,Paramètres!$A$1:$I$89,3,0)*VLOOKUP('Données projet'!$B$11,Paramètres!$A$1:$I$89,5,0)</f>
        <v>1.6334753307069771</v>
      </c>
      <c r="BF6" s="13">
        <f t="shared" si="37"/>
        <v>0.71098156578295024</v>
      </c>
      <c r="BG6" s="20">
        <f t="shared" si="7"/>
        <v>4.0832624280532892</v>
      </c>
      <c r="BH6" s="59">
        <f t="shared" si="8"/>
        <v>297.41659576138659</v>
      </c>
      <c r="BI6" s="59">
        <f ca="1">AVERAGE(OFFSET($BH$3,0,0,'Données projet'!$E$11+1,1))-AVERAGE(OFFSET($H$3,0,0,'Données projet'!$E$11+1,1))</f>
        <v>279.49721661620544</v>
      </c>
      <c r="BJ6" s="59">
        <f t="shared" si="38"/>
        <v>275.18739333988754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2.4666666666666668</v>
      </c>
      <c r="BY6" s="12">
        <f>IF('Données projet'!$A$114&gt;35,BY5+BX6-CG5,IF(A6&lt;'Données projet'!$A$114,$BV$205^A6,IF(A6='Données projet'!$A$114,'Données projet'!$B$114,BY5+BX6-CG5)))</f>
        <v>2.0589241364785171</v>
      </c>
      <c r="BZ6" s="13">
        <f>BY6*VLOOKUP('Données projet'!$B$12,Paramètres!$A$1:$I$89,3,0)*VLOOKUP('Données projet'!$B$12,Paramètres!$A$1:$I$89,5,0)</f>
        <v>1.9913914248020217</v>
      </c>
      <c r="CA6" s="13">
        <f t="shared" si="39"/>
        <v>0.84700673859444398</v>
      </c>
      <c r="CB6" s="20">
        <f t="shared" si="10"/>
        <v>4.9435434679155108</v>
      </c>
      <c r="CC6" s="59">
        <f t="shared" si="11"/>
        <v>298.27687680124882</v>
      </c>
      <c r="CD6" s="59">
        <f ca="1">AVERAGE(OFFSET($CC$3,0,0,'Données projet'!$E$12+1,1))-AVERAGE(OFFSET($H$3,0,0,'Données projet'!$E$12+1,1))</f>
        <v>281.84871057356037</v>
      </c>
      <c r="CE6" s="59">
        <f t="shared" si="40"/>
        <v>276.02211904126887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1.1000000000000001</v>
      </c>
      <c r="CT6" s="12">
        <f>IF('Données projet'!$A$140&gt;35,CT5+CS6-DB5,IF(A6&lt;'Données projet'!$A$140,$CQ$205^A6,IF(A6='Données projet'!$A$140,'Données projet'!$B$140,CT5+CS6-DB5)))</f>
        <v>2.0531364136588448</v>
      </c>
      <c r="CU6" s="17">
        <f>CT6*VLOOKUP('Données projet'!$B$13,Paramètres!$A$1:$I$89,3,0)*VLOOKUP('Données projet'!$B$13,Paramètres!$A$1:$I$89,5,0)</f>
        <v>1.6334753307069771</v>
      </c>
      <c r="CV6" s="13">
        <f t="shared" si="41"/>
        <v>0.71098156578295024</v>
      </c>
      <c r="CW6" s="20">
        <f t="shared" si="13"/>
        <v>4.0832624280532892</v>
      </c>
      <c r="CX6" s="59">
        <f t="shared" si="14"/>
        <v>297.41659576138659</v>
      </c>
      <c r="CY6" s="59">
        <f ca="1">AVERAGE(OFFSET($CX$3,0,0,'Données projet'!$E$13+1,1))-AVERAGE(OFFSET($H$3,0,0,'Données projet'!$E$13+1,1))</f>
        <v>279.49721661620544</v>
      </c>
      <c r="CZ6" s="59">
        <f t="shared" si="42"/>
        <v>275.18739333988754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2.1</v>
      </c>
      <c r="DO6" s="12">
        <f>IF('Données projet'!$A$166&gt;35,DO5+DN6-DW5,IF(A6&lt;'Données projet'!$A$166,$DL$205^A6,IF(A6='Données projet'!$A$166,'Données projet'!$B$166,DO5+DN6-DW5)))</f>
        <v>1.7518115829322798</v>
      </c>
      <c r="DP6" s="17">
        <f>DO6*VLOOKUP('Données projet'!$B$14,Paramètres!$A$1:$I$89,3,0)*VLOOKUP('Données projet'!$B$14,Paramètres!$A$1:$I$89,5,0)</f>
        <v>1.7763369450933317</v>
      </c>
      <c r="DQ6" s="13">
        <f t="shared" si="43"/>
        <v>0.76565418883323866</v>
      </c>
      <c r="DR6" s="20">
        <f t="shared" si="16"/>
        <v>4.4273012249221102</v>
      </c>
      <c r="DS6" s="59">
        <f t="shared" si="17"/>
        <v>297.76063455825545</v>
      </c>
      <c r="DT6" s="59">
        <f ca="1">AVERAGE(OFFSET($DS$3,0,0,'Données projet'!$E$14+1,1))-AVERAGE(OFFSET($H$3,0,0,'Données projet'!$E$14+1,1))</f>
        <v>308.80022073574963</v>
      </c>
      <c r="DU6" s="59">
        <f t="shared" si="44"/>
        <v>183.96267407004115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2.4666666666666668</v>
      </c>
      <c r="EJ6" s="12">
        <f>IF('Données projet'!$A$192&gt;35,EJ5+EI6-ER5,IF(A6&lt;'Données projet'!$A$192,$EG$205^A6,IF(A6='Données projet'!$A$192,'Données projet'!$B$192,EJ5+EI6-ER5)))</f>
        <v>2.0589241364785171</v>
      </c>
      <c r="EK6" s="17">
        <f>EJ6*VLOOKUP('Données projet'!$B$15,Paramètres!$A$1:$I$89,3,0)*VLOOKUP('Données projet'!$B$15,Paramètres!$A$1:$I$89,5,0)</f>
        <v>1.3490070942207244</v>
      </c>
      <c r="EL6" s="13">
        <f t="shared" si="45"/>
        <v>0.60038888236887178</v>
      </c>
      <c r="EM6" s="20">
        <f t="shared" si="19"/>
        <v>3.3951979925602132</v>
      </c>
      <c r="EN6" s="59">
        <f t="shared" si="20"/>
        <v>296.72853132589353</v>
      </c>
      <c r="EO6" s="59">
        <f ca="1">AVERAGE(OFFSET($EN$3,0,0,'Données projet'!$E$15+1,1))-AVERAGE(OFFSET($H$3,0,0,'Données projet'!$E$15+1,1))</f>
        <v>178.71569711875242</v>
      </c>
      <c r="EP6" s="59">
        <f t="shared" si="46"/>
        <v>178.13848582064168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2.1</v>
      </c>
      <c r="FE6" s="12">
        <f>IF('Données projet'!$A$218&gt;35,FE5+FD6-FM5,IF(A6&lt;'Données projet'!$A$218,$FB$205^A6,IF(A6='Données projet'!$A$218,'Données projet'!$B$218,FE5+FD6-FM5)))</f>
        <v>1.7518115829322798</v>
      </c>
      <c r="FF6" s="17">
        <f>FE6*VLOOKUP('Données projet'!$B$16,Paramètres!$A$1:$I$89,3,0)*VLOOKUP('Données projet'!$B$16,Paramètres!$A$1:$I$89,5,0)</f>
        <v>1.4757260774621526</v>
      </c>
      <c r="FG6" s="13">
        <f t="shared" si="47"/>
        <v>0.64995837934402878</v>
      </c>
      <c r="FH6" s="20">
        <f t="shared" si="22"/>
        <v>3.7022337622707653</v>
      </c>
      <c r="FI6" s="59">
        <f t="shared" si="23"/>
        <v>297.03556709560405</v>
      </c>
      <c r="FJ6" s="59">
        <f ca="1">AVERAGE(OFFSET($FI$3,0,0,'Données projet'!$E$16+1,1))-AVERAGE(OFFSET($H$3,0,0,'Données projet'!$E$16+1,1))</f>
        <v>247.22536892257716</v>
      </c>
      <c r="FK6" s="59">
        <f t="shared" si="48"/>
        <v>147.97952262756075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6">
        <f t="shared" si="1"/>
        <v>298.11530352234041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5.8</v>
      </c>
      <c r="N7" s="13">
        <f>IF('Données projet'!$A$36&gt;35,N6+M7-V6,IF(A7&lt;'Données projet'!$A$36,$K$205^A7,IF(A7='Données projet'!$A$36,'Données projet'!$B$36,N6+M7-V6)))</f>
        <v>3.2900699687263746</v>
      </c>
      <c r="O7" s="13">
        <f>N7*VLOOKUP('Données projet'!$B$9,Paramètres!$A$1:$I$89,3,0)*VLOOKUP('Données projet'!$B$9,Paramètres!$A$1:$I$89,5,0)</f>
        <v>2.874205124679361</v>
      </c>
      <c r="P7" s="13">
        <f t="shared" si="33"/>
        <v>1.1713814899478936</v>
      </c>
      <c r="Q7" s="20">
        <f t="shared" si="2"/>
        <v>7.0460633538091342</v>
      </c>
      <c r="R7" s="59">
        <f t="shared" si="0"/>
        <v>300.37939668714245</v>
      </c>
      <c r="S7" s="59">
        <f ca="1">AVERAGE(OFFSET($R$3,0,0,'Données projet'!$E$9+1,1))-AVERAGE(OFFSET($H$3,0,0,'Données projet'!$E$9+1,1))</f>
        <v>253.73326067725128</v>
      </c>
      <c r="T7" s="59">
        <f t="shared" si="34"/>
        <v>317.76427047458026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1.8666666666666667</v>
      </c>
      <c r="AI7" s="13">
        <f>IF('Données projet'!$A$62&gt;35,AI6+AH7-AQ6,IF(A7&lt;'Données projet'!$A$62,$AF$205^A7,IF(A7='Données projet'!$A$62,'Données projet'!$B$62,AI6+AH7-AQ6)))</f>
        <v>2.4316933569649977</v>
      </c>
      <c r="AJ7" s="13">
        <f>AI7*VLOOKUP('Données projet'!$B$10,Paramètres!$A$1:$I$89,3,0)*VLOOKUP('Données projet'!$B$10,Paramètres!$A$1:$I$89,5,0)</f>
        <v>1.169644504700164</v>
      </c>
      <c r="AK7" s="13">
        <f t="shared" si="35"/>
        <v>0.52927877383321942</v>
      </c>
      <c r="AL7" s="20">
        <f t="shared" si="4"/>
        <v>2.9589580434456426</v>
      </c>
      <c r="AM7" s="59">
        <f t="shared" si="5"/>
        <v>296.29229137677896</v>
      </c>
      <c r="AN7" s="59">
        <f ca="1">AVERAGE(OFFSET($AM$3,0,0,'Données projet'!$E$10+1,1))-AVERAGE(OFFSET($H$3,0,0,'Données projet'!$E$10+1,1))</f>
        <v>349.65790906807746</v>
      </c>
      <c r="AO7" s="59">
        <f t="shared" si="36"/>
        <v>291.88925884278888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1.1000000000000001</v>
      </c>
      <c r="BD7" s="12">
        <f>IF('Données projet'!$A$88&gt;35,BD6+BC7-BL6,IF(A7&lt;'Données projet'!$A$88,$BA$205^A7,IF(A7='Données projet'!$A$88,'Données projet'!$B$88,BD6+BC7-BL6)))</f>
        <v>2.6094986352788743</v>
      </c>
      <c r="BE7" s="13">
        <f>BD7*VLOOKUP('Données projet'!$B$11,Paramètres!$A$1:$I$89,3,0)*VLOOKUP('Données projet'!$B$11,Paramètres!$A$1:$I$89,5,0)</f>
        <v>2.0761171142278725</v>
      </c>
      <c r="BF7" s="13">
        <f t="shared" si="37"/>
        <v>0.87877116536856548</v>
      </c>
      <c r="BG7" s="20">
        <f t="shared" si="7"/>
        <v>5.14643042029713</v>
      </c>
      <c r="BH7" s="59">
        <f t="shared" si="8"/>
        <v>298.47976375363044</v>
      </c>
      <c r="BI7" s="59">
        <f ca="1">AVERAGE(OFFSET($BH$3,0,0,'Données projet'!$E$11+1,1))-AVERAGE(OFFSET($H$3,0,0,'Données projet'!$E$11+1,1))</f>
        <v>279.49721661620544</v>
      </c>
      <c r="BJ7" s="59">
        <f t="shared" si="38"/>
        <v>275.18739333988754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2.4666666666666668</v>
      </c>
      <c r="BY7" s="12">
        <f>IF('Données projet'!$A$114&gt;35,BY6+BX7-CG6,IF(A7&lt;'Données projet'!$A$114,$BV$205^A7,IF(A7='Données projet'!$A$114,'Données projet'!$B$114,BY6+BX7-CG6)))</f>
        <v>2.6193113595857573</v>
      </c>
      <c r="BZ7" s="13">
        <f>BY7*VLOOKUP('Données projet'!$B$12,Paramètres!$A$1:$I$89,3,0)*VLOOKUP('Données projet'!$B$12,Paramètres!$A$1:$I$89,5,0)</f>
        <v>2.5333979469913448</v>
      </c>
      <c r="CA7" s="13">
        <f t="shared" si="39"/>
        <v>1.0477662418158591</v>
      </c>
      <c r="CB7" s="20">
        <f t="shared" si="10"/>
        <v>6.2371942955058799</v>
      </c>
      <c r="CC7" s="59">
        <f t="shared" si="11"/>
        <v>299.57052762883922</v>
      </c>
      <c r="CD7" s="59">
        <f ca="1">AVERAGE(OFFSET($CC$3,0,0,'Données projet'!$E$12+1,1))-AVERAGE(OFFSET($H$3,0,0,'Données projet'!$E$12+1,1))</f>
        <v>281.84871057356037</v>
      </c>
      <c r="CE7" s="59">
        <f t="shared" si="40"/>
        <v>276.02211904126887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1.1000000000000001</v>
      </c>
      <c r="CT7" s="12">
        <f>IF('Données projet'!$A$140&gt;35,CT6+CS7-DB6,IF(A7&lt;'Données projet'!$A$140,$CQ$205^A7,IF(A7='Données projet'!$A$140,'Données projet'!$B$140,CT6+CS7-DB6)))</f>
        <v>2.6094986352788743</v>
      </c>
      <c r="CU7" s="17">
        <f>CT7*VLOOKUP('Données projet'!$B$13,Paramètres!$A$1:$I$89,3,0)*VLOOKUP('Données projet'!$B$13,Paramètres!$A$1:$I$89,5,0)</f>
        <v>2.0761171142278725</v>
      </c>
      <c r="CV7" s="13">
        <f t="shared" si="41"/>
        <v>0.87877116536856548</v>
      </c>
      <c r="CW7" s="20">
        <f t="shared" si="13"/>
        <v>5.14643042029713</v>
      </c>
      <c r="CX7" s="59">
        <f t="shared" si="14"/>
        <v>298.47976375363044</v>
      </c>
      <c r="CY7" s="59">
        <f ca="1">AVERAGE(OFFSET($CX$3,0,0,'Données projet'!$E$13+1,1))-AVERAGE(OFFSET($H$3,0,0,'Données projet'!$E$13+1,1))</f>
        <v>279.49721661620544</v>
      </c>
      <c r="CZ7" s="59">
        <f t="shared" si="42"/>
        <v>275.18739333988754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2.1</v>
      </c>
      <c r="DO7" s="12">
        <f>IF('Données projet'!$A$166&gt;35,DO6+DN7-DW6,IF(A7&lt;'Données projet'!$A$166,$DL$205^A7,IF(A7='Données projet'!$A$166,'Données projet'!$B$166,DO6+DN7-DW6)))</f>
        <v>2.1117857649667546</v>
      </c>
      <c r="DP7" s="17">
        <f>DO7*VLOOKUP('Données projet'!$B$14,Paramètres!$A$1:$I$89,3,0)*VLOOKUP('Données projet'!$B$14,Paramètres!$A$1:$I$89,5,0)</f>
        <v>2.1413507656762891</v>
      </c>
      <c r="DQ7" s="13">
        <f t="shared" si="43"/>
        <v>0.9031249003236328</v>
      </c>
      <c r="DR7" s="20">
        <f t="shared" si="16"/>
        <v>5.3024617849498643</v>
      </c>
      <c r="DS7" s="59">
        <f t="shared" si="17"/>
        <v>298.63579511828317</v>
      </c>
      <c r="DT7" s="59">
        <f ca="1">AVERAGE(OFFSET($DS$3,0,0,'Données projet'!$E$14+1,1))-AVERAGE(OFFSET($H$3,0,0,'Données projet'!$E$14+1,1))</f>
        <v>308.80022073574963</v>
      </c>
      <c r="DU7" s="59">
        <f t="shared" si="44"/>
        <v>183.96267407004115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2.4666666666666668</v>
      </c>
      <c r="EJ7" s="12">
        <f>IF('Données projet'!$A$192&gt;35,EJ6+EI7-ER6,IF(A7&lt;'Données projet'!$A$192,$EG$205^A7,IF(A7='Données projet'!$A$192,'Données projet'!$B$192,EJ6+EI7-ER6)))</f>
        <v>2.6193113595857573</v>
      </c>
      <c r="EK7" s="17">
        <f>EJ7*VLOOKUP('Données projet'!$B$15,Paramètres!$A$1:$I$89,3,0)*VLOOKUP('Données projet'!$B$15,Paramètres!$A$1:$I$89,5,0)</f>
        <v>1.7161728028005883</v>
      </c>
      <c r="EL7" s="13">
        <f t="shared" si="45"/>
        <v>0.74269444886773317</v>
      </c>
      <c r="EM7" s="20">
        <f t="shared" si="19"/>
        <v>4.2825271299889929</v>
      </c>
      <c r="EN7" s="59">
        <f t="shared" si="20"/>
        <v>297.61586046332229</v>
      </c>
      <c r="EO7" s="59">
        <f ca="1">AVERAGE(OFFSET($EN$3,0,0,'Données projet'!$E$15+1,1))-AVERAGE(OFFSET($H$3,0,0,'Données projet'!$E$15+1,1))</f>
        <v>178.71569711875242</v>
      </c>
      <c r="EP7" s="59">
        <f t="shared" si="46"/>
        <v>178.13848582064168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2.1</v>
      </c>
      <c r="FE7" s="12">
        <f>IF('Données projet'!$A$218&gt;35,FE6+FD7-FM6,IF(A7&lt;'Données projet'!$A$218,$FB$205^A7,IF(A7='Données projet'!$A$218,'Données projet'!$B$218,FE6+FD7-FM6)))</f>
        <v>2.1117857649667546</v>
      </c>
      <c r="FF7" s="17">
        <f>FE7*VLOOKUP('Données projet'!$B$16,Paramètres!$A$1:$I$89,3,0)*VLOOKUP('Données projet'!$B$16,Paramètres!$A$1:$I$89,5,0)</f>
        <v>1.7789683284079942</v>
      </c>
      <c r="FG7" s="13">
        <f t="shared" si="47"/>
        <v>0.76665628572357314</v>
      </c>
      <c r="FH7" s="20">
        <f t="shared" si="22"/>
        <v>4.4336295362791462</v>
      </c>
      <c r="FI7" s="59">
        <f t="shared" si="23"/>
        <v>297.76696286961248</v>
      </c>
      <c r="FJ7" s="59">
        <f ca="1">AVERAGE(OFFSET($FI$3,0,0,'Données projet'!$E$16+1,1))-AVERAGE(OFFSET($H$3,0,0,'Données projet'!$E$16+1,1))</f>
        <v>247.22536892257716</v>
      </c>
      <c r="FK7" s="59">
        <f t="shared" si="48"/>
        <v>147.97952262756075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6">
        <f t="shared" si="1"/>
        <v>299.26493332067207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5.8</v>
      </c>
      <c r="N8" s="13">
        <f>IF('Données projet'!$A$36&gt;35,N7+M8-V7,IF(A8&lt;'Données projet'!$A$36,$K$205^A8,IF(A8='Données projet'!$A$36,'Données projet'!$B$36,N7+M8-V7)))</f>
        <v>4.4310476216936356</v>
      </c>
      <c r="O8" s="13">
        <f>N8*VLOOKUP('Données projet'!$B$9,Paramètres!$A$1:$I$89,3,0)*VLOOKUP('Données projet'!$B$9,Paramètres!$A$1:$I$89,5,0)</f>
        <v>3.8709632023115605</v>
      </c>
      <c r="P8" s="13">
        <f t="shared" si="33"/>
        <v>1.5238736908481918</v>
      </c>
      <c r="Q8" s="20">
        <f t="shared" si="2"/>
        <v>9.3960075889199022</v>
      </c>
      <c r="R8" s="59">
        <f t="shared" si="0"/>
        <v>302.72934092225324</v>
      </c>
      <c r="S8" s="59">
        <f ca="1">AVERAGE(OFFSET($R$3,0,0,'Données projet'!$E$9+1,1))-AVERAGE(OFFSET($H$3,0,0,'Données projet'!$E$9+1,1))</f>
        <v>253.73326067725128</v>
      </c>
      <c r="T8" s="59">
        <f t="shared" si="34"/>
        <v>317.76427047458026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1.8666666666666667</v>
      </c>
      <c r="AI8" s="13">
        <f>IF('Données projet'!$A$62&gt;35,AI7+AH8-AQ7,IF(A8&lt;'Données projet'!$A$62,$AF$205^A8,IF(A8='Données projet'!$A$62,'Données projet'!$B$62,AI7+AH8-AQ7)))</f>
        <v>3.0365889718756618</v>
      </c>
      <c r="AJ8" s="13">
        <f>AI8*VLOOKUP('Données projet'!$B$10,Paramètres!$A$1:$I$89,3,0)*VLOOKUP('Données projet'!$B$10,Paramètres!$A$1:$I$89,5,0)</f>
        <v>1.4605992954721931</v>
      </c>
      <c r="AK8" s="13">
        <f t="shared" si="35"/>
        <v>0.64406801640892952</v>
      </c>
      <c r="AL8" s="20">
        <f t="shared" si="4"/>
        <v>3.6656289015262886</v>
      </c>
      <c r="AM8" s="59">
        <f t="shared" si="5"/>
        <v>296.99896223485962</v>
      </c>
      <c r="AN8" s="59">
        <f ca="1">AVERAGE(OFFSET($AM$3,0,0,'Données projet'!$E$10+1,1))-AVERAGE(OFFSET($H$3,0,0,'Données projet'!$E$10+1,1))</f>
        <v>349.65790906807746</v>
      </c>
      <c r="AO8" s="59">
        <f t="shared" si="36"/>
        <v>291.88925884278888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1.1000000000000001</v>
      </c>
      <c r="BD8" s="12">
        <f>IF('Données projet'!$A$88&gt;35,BD7+BC8-BL7,IF(A8&lt;'Données projet'!$A$88,$BA$205^A8,IF(A8='Données projet'!$A$88,'Données projet'!$B$88,BD7+BC8-BL7)))</f>
        <v>3.3166247903554016</v>
      </c>
      <c r="BE8" s="13">
        <f>BD8*VLOOKUP('Données projet'!$B$11,Paramètres!$A$1:$I$89,3,0)*VLOOKUP('Données projet'!$B$11,Paramètres!$A$1:$I$89,5,0)</f>
        <v>2.6387066832067574</v>
      </c>
      <c r="BF8" s="13">
        <f t="shared" si="37"/>
        <v>1.0861586266766543</v>
      </c>
      <c r="BG8" s="20">
        <f t="shared" si="7"/>
        <v>6.4874737480469413</v>
      </c>
      <c r="BH8" s="59">
        <f t="shared" si="8"/>
        <v>299.82080708138028</v>
      </c>
      <c r="BI8" s="59">
        <f ca="1">AVERAGE(OFFSET($BH$3,0,0,'Données projet'!$E$11+1,1))-AVERAGE(OFFSET($H$3,0,0,'Données projet'!$E$11+1,1))</f>
        <v>279.49721661620544</v>
      </c>
      <c r="BJ8" s="59">
        <f t="shared" si="38"/>
        <v>275.18739333988754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2.4666666666666668</v>
      </c>
      <c r="BY8" s="12">
        <f>IF('Données projet'!$A$114&gt;35,BY7+BX8-CG7,IF(A8&lt;'Données projet'!$A$114,$BV$205^A8,IF(A8='Données projet'!$A$114,'Données projet'!$B$114,BY7+BX8-CG7)))</f>
        <v>3.332221851645953</v>
      </c>
      <c r="BZ8" s="13">
        <f>BY8*VLOOKUP('Données projet'!$B$12,Paramètres!$A$1:$I$89,3,0)*VLOOKUP('Données projet'!$B$12,Paramètres!$A$1:$I$89,5,0)</f>
        <v>3.2229249749119662</v>
      </c>
      <c r="CA8" s="13">
        <f t="shared" si="39"/>
        <v>1.2961102284861215</v>
      </c>
      <c r="CB8" s="20">
        <f t="shared" si="10"/>
        <v>7.8706529792516697</v>
      </c>
      <c r="CC8" s="59">
        <f t="shared" si="11"/>
        <v>301.20398631258496</v>
      </c>
      <c r="CD8" s="59">
        <f ca="1">AVERAGE(OFFSET($CC$3,0,0,'Données projet'!$E$12+1,1))-AVERAGE(OFFSET($H$3,0,0,'Données projet'!$E$12+1,1))</f>
        <v>281.84871057356037</v>
      </c>
      <c r="CE8" s="59">
        <f t="shared" si="40"/>
        <v>276.02211904126887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1.1000000000000001</v>
      </c>
      <c r="CT8" s="12">
        <f>IF('Données projet'!$A$140&gt;35,CT7+CS8-DB7,IF(A8&lt;'Données projet'!$A$140,$CQ$205^A8,IF(A8='Données projet'!$A$140,'Données projet'!$B$140,CT7+CS8-DB7)))</f>
        <v>3.3166247903554016</v>
      </c>
      <c r="CU8" s="17">
        <f>CT8*VLOOKUP('Données projet'!$B$13,Paramètres!$A$1:$I$89,3,0)*VLOOKUP('Données projet'!$B$13,Paramètres!$A$1:$I$89,5,0)</f>
        <v>2.6387066832067574</v>
      </c>
      <c r="CV8" s="13">
        <f t="shared" si="41"/>
        <v>1.0861586266766543</v>
      </c>
      <c r="CW8" s="20">
        <f t="shared" si="13"/>
        <v>6.4874737480469413</v>
      </c>
      <c r="CX8" s="59">
        <f t="shared" si="14"/>
        <v>299.82080708138028</v>
      </c>
      <c r="CY8" s="59">
        <f ca="1">AVERAGE(OFFSET($CX$3,0,0,'Données projet'!$E$13+1,1))-AVERAGE(OFFSET($H$3,0,0,'Données projet'!$E$13+1,1))</f>
        <v>279.49721661620544</v>
      </c>
      <c r="CZ8" s="59">
        <f t="shared" si="42"/>
        <v>275.18739333988754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2.1</v>
      </c>
      <c r="DO8" s="12">
        <f>IF('Données projet'!$A$166&gt;35,DO7+DN8-DW7,IF(A8&lt;'Données projet'!$A$166,$DL$205^A8,IF(A8='Données projet'!$A$166,'Données projet'!$B$166,DO7+DN8-DW7)))</f>
        <v>2.5457298950218314</v>
      </c>
      <c r="DP8" s="17">
        <f>DO8*VLOOKUP('Données projet'!$B$14,Paramètres!$A$1:$I$89,3,0)*VLOOKUP('Données projet'!$B$14,Paramètres!$A$1:$I$89,5,0)</f>
        <v>2.5813701135521372</v>
      </c>
      <c r="DQ8" s="13">
        <f t="shared" si="43"/>
        <v>1.0652780295337991</v>
      </c>
      <c r="DR8" s="20">
        <f t="shared" si="16"/>
        <v>6.3512455158746723</v>
      </c>
      <c r="DS8" s="59">
        <f t="shared" si="17"/>
        <v>299.68457884920798</v>
      </c>
      <c r="DT8" s="59">
        <f ca="1">AVERAGE(OFFSET($DS$3,0,0,'Données projet'!$E$14+1,1))-AVERAGE(OFFSET($H$3,0,0,'Données projet'!$E$14+1,1))</f>
        <v>308.80022073574963</v>
      </c>
      <c r="DU8" s="59">
        <f t="shared" si="44"/>
        <v>183.96267407004115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2.4666666666666668</v>
      </c>
      <c r="EJ8" s="12">
        <f>IF('Données projet'!$A$192&gt;35,EJ7+EI8-ER7,IF(A8&lt;'Données projet'!$A$192,$EG$205^A8,IF(A8='Données projet'!$A$192,'Données projet'!$B$192,EJ7+EI8-ER7)))</f>
        <v>3.332221851645953</v>
      </c>
      <c r="EK8" s="17">
        <f>EJ8*VLOOKUP('Données projet'!$B$15,Paramètres!$A$1:$I$89,3,0)*VLOOKUP('Données projet'!$B$15,Paramètres!$A$1:$I$89,5,0)</f>
        <v>2.1832717571984284</v>
      </c>
      <c r="EL8" s="13">
        <f t="shared" si="45"/>
        <v>0.91872961105241191</v>
      </c>
      <c r="EM8" s="20">
        <f t="shared" si="19"/>
        <v>5.4026523830368793</v>
      </c>
      <c r="EN8" s="59">
        <f t="shared" si="20"/>
        <v>298.73598571637018</v>
      </c>
      <c r="EO8" s="59">
        <f ca="1">AVERAGE(OFFSET($EN$3,0,0,'Données projet'!$E$15+1,1))-AVERAGE(OFFSET($H$3,0,0,'Données projet'!$E$15+1,1))</f>
        <v>178.71569711875242</v>
      </c>
      <c r="EP8" s="59">
        <f t="shared" si="46"/>
        <v>178.13848582064168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2.1</v>
      </c>
      <c r="FE8" s="12">
        <f>IF('Données projet'!$A$218&gt;35,FE7+FD8-FM7,IF(A8&lt;'Données projet'!$A$218,$FB$205^A8,IF(A8='Données projet'!$A$218,'Données projet'!$B$218,FE7+FD8-FM7)))</f>
        <v>2.5457298950218314</v>
      </c>
      <c r="FF8" s="17">
        <f>FE8*VLOOKUP('Données projet'!$B$16,Paramètres!$A$1:$I$89,3,0)*VLOOKUP('Données projet'!$B$16,Paramètres!$A$1:$I$89,5,0)</f>
        <v>2.1445228635663907</v>
      </c>
      <c r="FG8" s="13">
        <f t="shared" si="47"/>
        <v>0.90430692044106609</v>
      </c>
      <c r="FH8" s="20">
        <f t="shared" si="22"/>
        <v>5.3100452071463202</v>
      </c>
      <c r="FI8" s="59">
        <f t="shared" si="23"/>
        <v>298.64337854047966</v>
      </c>
      <c r="FJ8" s="59">
        <f ca="1">AVERAGE(OFFSET($FI$3,0,0,'Données projet'!$E$16+1,1))-AVERAGE(OFFSET($H$3,0,0,'Données projet'!$E$16+1,1))</f>
        <v>247.22536892257716</v>
      </c>
      <c r="FK8" s="59">
        <f t="shared" si="48"/>
        <v>147.97952262756075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6">
        <f t="shared" si="1"/>
        <v>300.40733532985558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5.8</v>
      </c>
      <c r="N9" s="13">
        <f>IF('Données projet'!$A$36&gt;35,N8+M9-V8,IF(A9&lt;'Données projet'!$A$36,$K$205^A9,IF(A9='Données projet'!$A$36,'Données projet'!$B$36,N8+M9-V8)))</f>
        <v>5.9677098701087665</v>
      </c>
      <c r="O9" s="13">
        <f>N9*VLOOKUP('Données projet'!$B$9,Paramètres!$A$1:$I$89,3,0)*VLOOKUP('Données projet'!$B$9,Paramètres!$A$1:$I$89,5,0)</f>
        <v>5.2133913425270189</v>
      </c>
      <c r="P9" s="13">
        <f t="shared" si="33"/>
        <v>1.9824378698032765</v>
      </c>
      <c r="Q9" s="20">
        <f t="shared" si="2"/>
        <v>12.53273587814193</v>
      </c>
      <c r="R9" s="59">
        <f t="shared" si="0"/>
        <v>305.86606921147524</v>
      </c>
      <c r="S9" s="59">
        <f ca="1">AVERAGE(OFFSET($R$3,0,0,'Données projet'!$E$9+1,1))-AVERAGE(OFFSET($H$3,0,0,'Données projet'!$E$9+1,1))</f>
        <v>253.73326067725128</v>
      </c>
      <c r="T9" s="59">
        <f t="shared" si="34"/>
        <v>317.76427047458026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1.8666666666666667</v>
      </c>
      <c r="AI9" s="13">
        <f>IF('Données projet'!$A$62&gt;35,AI8+AH9-AQ8,IF(A9&lt;'Données projet'!$A$62,$AF$205^A9,IF(A9='Données projet'!$A$62,'Données projet'!$B$62,AI8+AH9-AQ8)))</f>
        <v>3.7919553292794621</v>
      </c>
      <c r="AJ9" s="13">
        <f>AI9*VLOOKUP('Données projet'!$B$10,Paramètres!$A$1:$I$89,3,0)*VLOOKUP('Données projet'!$B$10,Paramètres!$A$1:$I$89,5,0)</f>
        <v>1.8239305133834212</v>
      </c>
      <c r="AK9" s="13">
        <f t="shared" si="35"/>
        <v>0.78375258988120322</v>
      </c>
      <c r="AL9" s="20">
        <f t="shared" si="4"/>
        <v>4.5417147381858864</v>
      </c>
      <c r="AM9" s="59">
        <f t="shared" si="5"/>
        <v>297.87504807151919</v>
      </c>
      <c r="AN9" s="59">
        <f ca="1">AVERAGE(OFFSET($AM$3,0,0,'Données projet'!$E$10+1,1))-AVERAGE(OFFSET($H$3,0,0,'Données projet'!$E$10+1,1))</f>
        <v>349.65790906807746</v>
      </c>
      <c r="AO9" s="59">
        <f t="shared" si="36"/>
        <v>291.88925884278888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1.1000000000000001</v>
      </c>
      <c r="BD9" s="12">
        <f>IF('Données projet'!$A$88&gt;35,BD8+BC9-BL8,IF(A9&lt;'Données projet'!$A$88,$BA$205^A9,IF(A9='Données projet'!$A$88,'Données projet'!$B$88,BD8+BC9-BL8)))</f>
        <v>4.2153691330919028</v>
      </c>
      <c r="BE9" s="13">
        <f>BD9*VLOOKUP('Données projet'!$B$11,Paramètres!$A$1:$I$89,3,0)*VLOOKUP('Données projet'!$B$11,Paramètres!$A$1:$I$89,5,0)</f>
        <v>3.353747682287918</v>
      </c>
      <c r="BF9" s="13">
        <f t="shared" si="37"/>
        <v>1.3424889309030987</v>
      </c>
      <c r="BG9" s="20">
        <f t="shared" si="7"/>
        <v>8.1792787679743544</v>
      </c>
      <c r="BH9" s="59">
        <f t="shared" si="8"/>
        <v>301.5126121013077</v>
      </c>
      <c r="BI9" s="59">
        <f ca="1">AVERAGE(OFFSET($BH$3,0,0,'Données projet'!$E$11+1,1))-AVERAGE(OFFSET($H$3,0,0,'Données projet'!$E$11+1,1))</f>
        <v>279.49721661620544</v>
      </c>
      <c r="BJ9" s="59">
        <f t="shared" si="38"/>
        <v>275.18739333988754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2.4666666666666668</v>
      </c>
      <c r="BY9" s="12">
        <f>IF('Données projet'!$A$114&gt;35,BY8+BX9-CG8,IF(A9&lt;'Données projet'!$A$114,$BV$205^A9,IF(A9='Données projet'!$A$114,'Données projet'!$B$114,BY8+BX9-CG8)))</f>
        <v>4.2391685997738069</v>
      </c>
      <c r="BZ9" s="13">
        <f>BY9*VLOOKUP('Données projet'!$B$12,Paramètres!$A$1:$I$89,3,0)*VLOOKUP('Données projet'!$B$12,Paramètres!$A$1:$I$89,5,0)</f>
        <v>4.1001238697012257</v>
      </c>
      <c r="CA9" s="13">
        <f t="shared" si="39"/>
        <v>1.6033172833235658</v>
      </c>
      <c r="CB9" s="20">
        <f t="shared" si="10"/>
        <v>9.9334933415181794</v>
      </c>
      <c r="CC9" s="59">
        <f t="shared" si="11"/>
        <v>303.26682667485147</v>
      </c>
      <c r="CD9" s="59">
        <f ca="1">AVERAGE(OFFSET($CC$3,0,0,'Données projet'!$E$12+1,1))-AVERAGE(OFFSET($H$3,0,0,'Données projet'!$E$12+1,1))</f>
        <v>281.84871057356037</v>
      </c>
      <c r="CE9" s="59">
        <f t="shared" si="40"/>
        <v>276.02211904126887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1.1000000000000001</v>
      </c>
      <c r="CT9" s="12">
        <f>IF('Données projet'!$A$140&gt;35,CT8+CS9-DB8,IF(A9&lt;'Données projet'!$A$140,$CQ$205^A9,IF(A9='Données projet'!$A$140,'Données projet'!$B$140,CT8+CS9-DB8)))</f>
        <v>4.2153691330919028</v>
      </c>
      <c r="CU9" s="17">
        <f>CT9*VLOOKUP('Données projet'!$B$13,Paramètres!$A$1:$I$89,3,0)*VLOOKUP('Données projet'!$B$13,Paramètres!$A$1:$I$89,5,0)</f>
        <v>3.353747682287918</v>
      </c>
      <c r="CV9" s="13">
        <f t="shared" si="41"/>
        <v>1.3424889309030987</v>
      </c>
      <c r="CW9" s="20">
        <f t="shared" si="13"/>
        <v>8.1792787679743544</v>
      </c>
      <c r="CX9" s="59">
        <f t="shared" si="14"/>
        <v>301.5126121013077</v>
      </c>
      <c r="CY9" s="59">
        <f ca="1">AVERAGE(OFFSET($CX$3,0,0,'Données projet'!$E$13+1,1))-AVERAGE(OFFSET($H$3,0,0,'Données projet'!$E$13+1,1))</f>
        <v>279.49721661620544</v>
      </c>
      <c r="CZ9" s="59">
        <f t="shared" si="42"/>
        <v>275.18739333988754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2.1</v>
      </c>
      <c r="DO9" s="12">
        <f>IF('Données projet'!$A$166&gt;35,DO8+DN9-DW8,IF(A9&lt;'Données projet'!$A$166,$DL$205^A9,IF(A9='Données projet'!$A$166,'Données projet'!$B$166,DO8+DN9-DW8)))</f>
        <v>3.0688438220956993</v>
      </c>
      <c r="DP9" s="17">
        <f>DO9*VLOOKUP('Données projet'!$B$14,Paramètres!$A$1:$I$89,3,0)*VLOOKUP('Données projet'!$B$14,Paramètres!$A$1:$I$89,5,0)</f>
        <v>3.111807635605039</v>
      </c>
      <c r="DQ9" s="13">
        <f t="shared" si="43"/>
        <v>1.2565452240335246</v>
      </c>
      <c r="DR9" s="20">
        <f t="shared" si="16"/>
        <v>7.6082145638704972</v>
      </c>
      <c r="DS9" s="59">
        <f t="shared" si="17"/>
        <v>300.9415478972038</v>
      </c>
      <c r="DT9" s="59">
        <f ca="1">AVERAGE(OFFSET($DS$3,0,0,'Données projet'!$E$14+1,1))-AVERAGE(OFFSET($H$3,0,0,'Données projet'!$E$14+1,1))</f>
        <v>308.80022073574963</v>
      </c>
      <c r="DU9" s="59">
        <f t="shared" si="44"/>
        <v>183.96267407004115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2.4666666666666668</v>
      </c>
      <c r="EJ9" s="12">
        <f>IF('Données projet'!$A$192&gt;35,EJ8+EI9-ER8,IF(A9&lt;'Données projet'!$A$192,$EG$205^A9,IF(A9='Données projet'!$A$192,'Données projet'!$B$192,EJ8+EI9-ER8)))</f>
        <v>4.2391685997738069</v>
      </c>
      <c r="EK9" s="17">
        <f>EJ9*VLOOKUP('Données projet'!$B$15,Paramètres!$A$1:$I$89,3,0)*VLOOKUP('Données projet'!$B$15,Paramètres!$A$1:$I$89,5,0)</f>
        <v>2.7775032665717982</v>
      </c>
      <c r="EL9" s="13">
        <f t="shared" si="45"/>
        <v>1.1364890359842124</v>
      </c>
      <c r="EM9" s="20">
        <f t="shared" si="19"/>
        <v>6.8168699269517186</v>
      </c>
      <c r="EN9" s="59">
        <f t="shared" si="20"/>
        <v>300.15020326028502</v>
      </c>
      <c r="EO9" s="59">
        <f ca="1">AVERAGE(OFFSET($EN$3,0,0,'Données projet'!$E$15+1,1))-AVERAGE(OFFSET($H$3,0,0,'Données projet'!$E$15+1,1))</f>
        <v>178.71569711875242</v>
      </c>
      <c r="EP9" s="59">
        <f t="shared" si="46"/>
        <v>178.13848582064168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2.1</v>
      </c>
      <c r="FE9" s="12">
        <f>IF('Données projet'!$A$218&gt;35,FE8+FD9-FM8,IF(A9&lt;'Données projet'!$A$218,$FB$205^A9,IF(A9='Données projet'!$A$218,'Données projet'!$B$218,FE8+FD9-FM8)))</f>
        <v>3.0688438220956993</v>
      </c>
      <c r="FF9" s="17">
        <f>FE9*VLOOKUP('Données projet'!$B$16,Paramètres!$A$1:$I$89,3,0)*VLOOKUP('Données projet'!$B$16,Paramètres!$A$1:$I$89,5,0)</f>
        <v>2.5851940357334171</v>
      </c>
      <c r="FG9" s="13">
        <f t="shared" si="47"/>
        <v>1.0666722775067177</v>
      </c>
      <c r="FH9" s="20">
        <f t="shared" si="22"/>
        <v>6.3603338288932347</v>
      </c>
      <c r="FI9" s="59">
        <f t="shared" si="23"/>
        <v>299.69366716222657</v>
      </c>
      <c r="FJ9" s="59">
        <f ca="1">AVERAGE(OFFSET($FI$3,0,0,'Données projet'!$E$16+1,1))-AVERAGE(OFFSET($H$3,0,0,'Données projet'!$E$16+1,1))</f>
        <v>247.22536892257716</v>
      </c>
      <c r="FK9" s="59">
        <f t="shared" si="48"/>
        <v>147.97952262756075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6">
        <f t="shared" si="1"/>
        <v>301.54385515707349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5.8</v>
      </c>
      <c r="N10" s="13">
        <f>IF('Données projet'!$A$36&gt;35,N9+M10-V9,IF(A10&lt;'Données projet'!$A$36,$K$205^A10,IF(A10='Données projet'!$A$36,'Données projet'!$B$36,N9+M10-V9)))</f>
        <v>8.0372778932539148</v>
      </c>
      <c r="O10" s="13">
        <f>N10*VLOOKUP('Données projet'!$B$9,Paramètres!$A$1:$I$89,3,0)*VLOOKUP('Données projet'!$B$9,Paramètres!$A$1:$I$89,5,0)</f>
        <v>7.0213659675466209</v>
      </c>
      <c r="P10" s="13">
        <f t="shared" si="33"/>
        <v>2.5789932139603198</v>
      </c>
      <c r="Q10" s="20">
        <f t="shared" si="2"/>
        <v>16.72062557445792</v>
      </c>
      <c r="R10" s="59">
        <f t="shared" si="0"/>
        <v>310.05395890779124</v>
      </c>
      <c r="S10" s="59">
        <f ca="1">AVERAGE(OFFSET($R$3,0,0,'Données projet'!$E$9+1,1))-AVERAGE(OFFSET($H$3,0,0,'Données projet'!$E$9+1,1))</f>
        <v>253.73326067725128</v>
      </c>
      <c r="T10" s="59">
        <f t="shared" si="34"/>
        <v>317.76427047458026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1.8666666666666667</v>
      </c>
      <c r="AI10" s="13">
        <f>IF('Données projet'!$A$62&gt;35,AI9+AH10-AQ9,IF(A10&lt;'Données projet'!$A$62,$AF$205^A10,IF(A10='Données projet'!$A$62,'Données projet'!$B$62,AI9+AH10-AQ9)))</f>
        <v>4.7352227622592062</v>
      </c>
      <c r="AJ10" s="13">
        <f>AI10*VLOOKUP('Données projet'!$B$10,Paramètres!$A$1:$I$89,3,0)*VLOOKUP('Données projet'!$B$10,Paramètres!$A$1:$I$89,5,0)</f>
        <v>2.2776421486466782</v>
      </c>
      <c r="AK10" s="13">
        <f t="shared" si="35"/>
        <v>0.95373175890709694</v>
      </c>
      <c r="AL10" s="20">
        <f t="shared" si="4"/>
        <v>5.6279762223228254</v>
      </c>
      <c r="AM10" s="59">
        <f t="shared" si="5"/>
        <v>298.96130955565616</v>
      </c>
      <c r="AN10" s="59">
        <f ca="1">AVERAGE(OFFSET($AM$3,0,0,'Données projet'!$E$10+1,1))-AVERAGE(OFFSET($H$3,0,0,'Données projet'!$E$10+1,1))</f>
        <v>349.65790906807746</v>
      </c>
      <c r="AO10" s="59">
        <f t="shared" si="36"/>
        <v>291.88925884278888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1.1000000000000001</v>
      </c>
      <c r="BD10" s="12">
        <f>IF('Données projet'!$A$88&gt;35,BD9+BC10-BL9,IF(A10&lt;'Données projet'!$A$88,$BA$205^A10,IF(A10='Données projet'!$A$88,'Données projet'!$B$88,BD9+BC10-BL9)))</f>
        <v>5.3576566694841175</v>
      </c>
      <c r="BE10" s="13">
        <f>BD10*VLOOKUP('Données projet'!$B$11,Paramètres!$A$1:$I$89,3,0)*VLOOKUP('Données projet'!$B$11,Paramètres!$A$1:$I$89,5,0)</f>
        <v>4.2625516462415645</v>
      </c>
      <c r="BF10" s="13">
        <f t="shared" si="37"/>
        <v>1.6593124478620722</v>
      </c>
      <c r="BG10" s="20">
        <f t="shared" si="7"/>
        <v>10.313913297230501</v>
      </c>
      <c r="BH10" s="59">
        <f t="shared" si="8"/>
        <v>303.64724663056381</v>
      </c>
      <c r="BI10" s="59">
        <f ca="1">AVERAGE(OFFSET($BH$3,0,0,'Données projet'!$E$11+1,1))-AVERAGE(OFFSET($H$3,0,0,'Données projet'!$E$11+1,1))</f>
        <v>279.49721661620544</v>
      </c>
      <c r="BJ10" s="59">
        <f t="shared" si="38"/>
        <v>275.18739333988754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2.4666666666666668</v>
      </c>
      <c r="BY10" s="12">
        <f>IF('Données projet'!$A$114&gt;35,BY9+BX10-CG9,IF(A10&lt;'Données projet'!$A$114,$BV$205^A10,IF(A10='Données projet'!$A$114,'Données projet'!$B$114,BY9+BX10-CG9)))</f>
        <v>5.3929633792034757</v>
      </c>
      <c r="BZ10" s="13">
        <f>BY10*VLOOKUP('Données projet'!$B$12,Paramètres!$A$1:$I$89,3,0)*VLOOKUP('Données projet'!$B$12,Paramètres!$A$1:$I$89,5,0)</f>
        <v>5.2160741803656014</v>
      </c>
      <c r="CA10" s="13">
        <f t="shared" si="39"/>
        <v>1.9833392673758889</v>
      </c>
      <c r="CB10" s="20">
        <f t="shared" si="10"/>
        <v>12.538978421483094</v>
      </c>
      <c r="CC10" s="59">
        <f t="shared" si="11"/>
        <v>305.87231175481639</v>
      </c>
      <c r="CD10" s="59">
        <f ca="1">AVERAGE(OFFSET($CC$3,0,0,'Données projet'!$E$12+1,1))-AVERAGE(OFFSET($H$3,0,0,'Données projet'!$E$12+1,1))</f>
        <v>281.84871057356037</v>
      </c>
      <c r="CE10" s="59">
        <f t="shared" si="40"/>
        <v>276.02211904126887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1.1000000000000001</v>
      </c>
      <c r="CT10" s="12">
        <f>IF('Données projet'!$A$140&gt;35,CT9+CS10-DB9,IF(A10&lt;'Données projet'!$A$140,$CQ$205^A10,IF(A10='Données projet'!$A$140,'Données projet'!$B$140,CT9+CS10-DB9)))</f>
        <v>5.3576566694841175</v>
      </c>
      <c r="CU10" s="17">
        <f>CT10*VLOOKUP('Données projet'!$B$13,Paramètres!$A$1:$I$89,3,0)*VLOOKUP('Données projet'!$B$13,Paramètres!$A$1:$I$89,5,0)</f>
        <v>4.2625516462415645</v>
      </c>
      <c r="CV10" s="13">
        <f t="shared" si="41"/>
        <v>1.6593124478620722</v>
      </c>
      <c r="CW10" s="20">
        <f t="shared" si="13"/>
        <v>10.313913297230501</v>
      </c>
      <c r="CX10" s="59">
        <f t="shared" si="14"/>
        <v>303.64724663056381</v>
      </c>
      <c r="CY10" s="59">
        <f ca="1">AVERAGE(OFFSET($CX$3,0,0,'Données projet'!$E$13+1,1))-AVERAGE(OFFSET($H$3,0,0,'Données projet'!$E$13+1,1))</f>
        <v>279.49721661620544</v>
      </c>
      <c r="CZ10" s="59">
        <f t="shared" si="42"/>
        <v>275.18739333988754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2.1</v>
      </c>
      <c r="DO10" s="12">
        <f>IF('Données projet'!$A$166&gt;35,DO9+DN10-DW9,IF(A10&lt;'Données projet'!$A$166,$DL$205^A10,IF(A10='Données projet'!$A$166,'Données projet'!$B$166,DO9+DN10-DW9)))</f>
        <v>3.6994507637402658</v>
      </c>
      <c r="DP10" s="17">
        <f>DO10*VLOOKUP('Données projet'!$B$14,Paramètres!$A$1:$I$89,3,0)*VLOOKUP('Données projet'!$B$14,Paramètres!$A$1:$I$89,5,0)</f>
        <v>3.7512430744326299</v>
      </c>
      <c r="DQ10" s="13">
        <f t="shared" si="43"/>
        <v>1.4821538192545303</v>
      </c>
      <c r="DR10" s="20">
        <f t="shared" si="16"/>
        <v>9.1148329231718037</v>
      </c>
      <c r="DS10" s="59">
        <f t="shared" si="17"/>
        <v>302.44816625650515</v>
      </c>
      <c r="DT10" s="59">
        <f ca="1">AVERAGE(OFFSET($DS$3,0,0,'Données projet'!$E$14+1,1))-AVERAGE(OFFSET($H$3,0,0,'Données projet'!$E$14+1,1))</f>
        <v>308.80022073574963</v>
      </c>
      <c r="DU10" s="59">
        <f t="shared" si="44"/>
        <v>183.96267407004115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2.4666666666666668</v>
      </c>
      <c r="EJ10" s="12">
        <f>IF('Données projet'!$A$192&gt;35,EJ9+EI10-ER9,IF(A10&lt;'Données projet'!$A$192,$EG$205^A10,IF(A10='Données projet'!$A$192,'Données projet'!$B$192,EJ9+EI10-ER9)))</f>
        <v>5.3929633792034757</v>
      </c>
      <c r="EK10" s="17">
        <f>EJ10*VLOOKUP('Données projet'!$B$15,Paramètres!$A$1:$I$89,3,0)*VLOOKUP('Données projet'!$B$15,Paramètres!$A$1:$I$89,5,0)</f>
        <v>3.5334696060541173</v>
      </c>
      <c r="EL10" s="13">
        <f t="shared" si="45"/>
        <v>1.4058623052682262</v>
      </c>
      <c r="EM10" s="20">
        <f t="shared" si="19"/>
        <v>8.6026697455530794</v>
      </c>
      <c r="EN10" s="59">
        <f t="shared" si="20"/>
        <v>301.93600307888642</v>
      </c>
      <c r="EO10" s="59">
        <f ca="1">AVERAGE(OFFSET($EN$3,0,0,'Données projet'!$E$15+1,1))-AVERAGE(OFFSET($H$3,0,0,'Données projet'!$E$15+1,1))</f>
        <v>178.71569711875242</v>
      </c>
      <c r="EP10" s="59">
        <f t="shared" si="46"/>
        <v>178.13848582064168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2.1</v>
      </c>
      <c r="FE10" s="12">
        <f>IF('Données projet'!$A$218&gt;35,FE9+FD10-FM9,IF(A10&lt;'Données projet'!$A$218,$FB$205^A10,IF(A10='Données projet'!$A$218,'Données projet'!$B$218,FE9+FD10-FM9)))</f>
        <v>3.6994507637402658</v>
      </c>
      <c r="FF10" s="17">
        <f>FE10*VLOOKUP('Données projet'!$B$16,Paramètres!$A$1:$I$89,3,0)*VLOOKUP('Données projet'!$B$16,Paramètres!$A$1:$I$89,5,0)</f>
        <v>3.1164173233748005</v>
      </c>
      <c r="FG10" s="13">
        <f t="shared" si="47"/>
        <v>1.2581898046809412</v>
      </c>
      <c r="FH10" s="20">
        <f t="shared" si="22"/>
        <v>7.6191074146970825</v>
      </c>
      <c r="FI10" s="59">
        <f t="shared" si="23"/>
        <v>300.95244074803037</v>
      </c>
      <c r="FJ10" s="59">
        <f ca="1">AVERAGE(OFFSET($FI$3,0,0,'Données projet'!$E$16+1,1))-AVERAGE(OFFSET($H$3,0,0,'Données projet'!$E$16+1,1))</f>
        <v>247.22536892257716</v>
      </c>
      <c r="FK10" s="59">
        <f t="shared" si="48"/>
        <v>147.97952262756075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6">
        <f t="shared" si="1"/>
        <v>302.675430070853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5.8</v>
      </c>
      <c r="N11" s="13">
        <f>IF('Données projet'!$A$36&gt;35,N10+M11-V10,IF(A11&lt;'Données projet'!$A$36,$K$205^A11,IF(A11='Données projet'!$A$36,'Données projet'!$B$36,N10+M11-V10)))</f>
        <v>10.824560399115168</v>
      </c>
      <c r="O11" s="13">
        <f>N11*VLOOKUP('Données projet'!$B$9,Paramètres!$A$1:$I$89,3,0)*VLOOKUP('Données projet'!$B$9,Paramètres!$A$1:$I$89,5,0)</f>
        <v>9.4563359646670122</v>
      </c>
      <c r="P11" s="13">
        <f t="shared" si="33"/>
        <v>3.3550640345230081</v>
      </c>
      <c r="Q11" s="20">
        <f t="shared" si="2"/>
        <v>22.313188331922618</v>
      </c>
      <c r="R11" s="59">
        <f t="shared" si="0"/>
        <v>315.64652166525593</v>
      </c>
      <c r="S11" s="59">
        <f ca="1">AVERAGE(OFFSET($R$3,0,0,'Données projet'!$E$9+1,1))-AVERAGE(OFFSET($H$3,0,0,'Données projet'!$E$9+1,1))</f>
        <v>253.73326067725128</v>
      </c>
      <c r="T11" s="59">
        <f t="shared" si="34"/>
        <v>317.76427047458026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1.8666666666666667</v>
      </c>
      <c r="AI11" s="13">
        <f>IF('Données projet'!$A$62&gt;35,AI10+AH11-AQ10,IF(A11&lt;'Données projet'!$A$62,$AF$205^A11,IF(A11='Données projet'!$A$62,'Données projet'!$B$62,AI10+AH11-AQ10)))</f>
        <v>5.9131325823076999</v>
      </c>
      <c r="AJ11" s="13">
        <f>AI11*VLOOKUP('Données projet'!$B$10,Paramètres!$A$1:$I$89,3,0)*VLOOKUP('Données projet'!$B$10,Paramètres!$A$1:$I$89,5,0)</f>
        <v>2.8442167720900038</v>
      </c>
      <c r="AK11" s="13">
        <f t="shared" si="35"/>
        <v>1.1605757731351136</v>
      </c>
      <c r="AL11" s="20">
        <f t="shared" si="4"/>
        <v>6.9750136829337457</v>
      </c>
      <c r="AM11" s="59">
        <f t="shared" si="5"/>
        <v>300.30834701626708</v>
      </c>
      <c r="AN11" s="59">
        <f ca="1">AVERAGE(OFFSET($AM$3,0,0,'Données projet'!$E$10+1,1))-AVERAGE(OFFSET($H$3,0,0,'Données projet'!$E$10+1,1))</f>
        <v>349.65790906807746</v>
      </c>
      <c r="AO11" s="59">
        <f t="shared" si="36"/>
        <v>291.88925884278888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1.1000000000000001</v>
      </c>
      <c r="BD11" s="12">
        <f>IF('Données projet'!$A$88&gt;35,BD10+BC11-BL10,IF(A11&lt;'Données projet'!$A$88,$BA$205^A11,IF(A11='Données projet'!$A$88,'Données projet'!$B$88,BD10+BC11-BL10)))</f>
        <v>6.8094831275223076</v>
      </c>
      <c r="BE11" s="13">
        <f>BD11*VLOOKUP('Données projet'!$B$11,Paramètres!$A$1:$I$89,3,0)*VLOOKUP('Données projet'!$B$11,Paramètres!$A$1:$I$89,5,0)</f>
        <v>5.4176247762567487</v>
      </c>
      <c r="BF11" s="13">
        <f t="shared" si="37"/>
        <v>2.0509054013412618</v>
      </c>
      <c r="BG11" s="20">
        <f t="shared" si="7"/>
        <v>13.007690059316532</v>
      </c>
      <c r="BH11" s="59">
        <f t="shared" si="8"/>
        <v>306.34102339264984</v>
      </c>
      <c r="BI11" s="59">
        <f ca="1">AVERAGE(OFFSET($BH$3,0,0,'Données projet'!$E$11+1,1))-AVERAGE(OFFSET($H$3,0,0,'Données projet'!$E$11+1,1))</f>
        <v>279.49721661620544</v>
      </c>
      <c r="BJ11" s="59">
        <f t="shared" si="38"/>
        <v>275.18739333988754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2.4666666666666668</v>
      </c>
      <c r="BY11" s="12">
        <f>IF('Données projet'!$A$114&gt;35,BY10+BX11-CG10,IF(A11&lt;'Données projet'!$A$114,$BV$205^A11,IF(A11='Données projet'!$A$114,'Données projet'!$B$114,BY10+BX11-CG10)))</f>
        <v>6.8607919984549888</v>
      </c>
      <c r="BZ11" s="13">
        <f>BY11*VLOOKUP('Données projet'!$B$12,Paramètres!$A$1:$I$89,3,0)*VLOOKUP('Données projet'!$B$12,Paramètres!$A$1:$I$89,5,0)</f>
        <v>6.6357580209056657</v>
      </c>
      <c r="CA11" s="13">
        <f t="shared" si="39"/>
        <v>2.4534349441808394</v>
      </c>
      <c r="CB11" s="20">
        <f t="shared" si="10"/>
        <v>15.830344414192332</v>
      </c>
      <c r="CC11" s="59">
        <f t="shared" si="11"/>
        <v>309.16367774752564</v>
      </c>
      <c r="CD11" s="59">
        <f ca="1">AVERAGE(OFFSET($CC$3,0,0,'Données projet'!$E$12+1,1))-AVERAGE(OFFSET($H$3,0,0,'Données projet'!$E$12+1,1))</f>
        <v>281.84871057356037</v>
      </c>
      <c r="CE11" s="59">
        <f t="shared" si="40"/>
        <v>276.02211904126887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1.1000000000000001</v>
      </c>
      <c r="CT11" s="12">
        <f>IF('Données projet'!$A$140&gt;35,CT10+CS11-DB10,IF(A11&lt;'Données projet'!$A$140,$CQ$205^A11,IF(A11='Données projet'!$A$140,'Données projet'!$B$140,CT10+CS11-DB10)))</f>
        <v>6.8094831275223076</v>
      </c>
      <c r="CU11" s="17">
        <f>CT11*VLOOKUP('Données projet'!$B$13,Paramètres!$A$1:$I$89,3,0)*VLOOKUP('Données projet'!$B$13,Paramètres!$A$1:$I$89,5,0)</f>
        <v>5.4176247762567487</v>
      </c>
      <c r="CV11" s="13">
        <f t="shared" si="41"/>
        <v>2.0509054013412618</v>
      </c>
      <c r="CW11" s="20">
        <f t="shared" si="13"/>
        <v>13.007690059316532</v>
      </c>
      <c r="CX11" s="59">
        <f t="shared" si="14"/>
        <v>306.34102339264984</v>
      </c>
      <c r="CY11" s="59">
        <f ca="1">AVERAGE(OFFSET($CX$3,0,0,'Données projet'!$E$13+1,1))-AVERAGE(OFFSET($H$3,0,0,'Données projet'!$E$13+1,1))</f>
        <v>279.49721661620544</v>
      </c>
      <c r="CZ11" s="59">
        <f t="shared" si="42"/>
        <v>275.18739333988754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2.1</v>
      </c>
      <c r="DO11" s="12">
        <f>IF('Données projet'!$A$166&gt;35,DO10+DN11-DW10,IF(A11&lt;'Données projet'!$A$166,$DL$205^A11,IF(A11='Données projet'!$A$166,'Données projet'!$B$166,DO10+DN11-DW10)))</f>
        <v>4.4596391171162209</v>
      </c>
      <c r="DP11" s="17">
        <f>DO11*VLOOKUP('Données projet'!$B$14,Paramètres!$A$1:$I$89,3,0)*VLOOKUP('Données projet'!$B$14,Paramètres!$A$1:$I$89,5,0)</f>
        <v>4.5220740647558486</v>
      </c>
      <c r="DQ11" s="13">
        <f t="shared" si="43"/>
        <v>1.7482697016499746</v>
      </c>
      <c r="DR11" s="20">
        <f t="shared" si="16"/>
        <v>10.92084872649014</v>
      </c>
      <c r="DS11" s="59">
        <f t="shared" si="17"/>
        <v>304.25418205982345</v>
      </c>
      <c r="DT11" s="59">
        <f ca="1">AVERAGE(OFFSET($DS$3,0,0,'Données projet'!$E$14+1,1))-AVERAGE(OFFSET($H$3,0,0,'Données projet'!$E$14+1,1))</f>
        <v>308.80022073574963</v>
      </c>
      <c r="DU11" s="59">
        <f t="shared" si="44"/>
        <v>183.96267407004115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2.4666666666666668</v>
      </c>
      <c r="EJ11" s="12">
        <f>IF('Données projet'!$A$192&gt;35,EJ10+EI11-ER10,IF(A11&lt;'Données projet'!$A$192,$EG$205^A11,IF(A11='Données projet'!$A$192,'Données projet'!$B$192,EJ10+EI11-ER10)))</f>
        <v>6.8607919984549888</v>
      </c>
      <c r="EK11" s="17">
        <f>EJ11*VLOOKUP('Données projet'!$B$15,Paramètres!$A$1:$I$89,3,0)*VLOOKUP('Données projet'!$B$15,Paramètres!$A$1:$I$89,5,0)</f>
        <v>4.4951909173877089</v>
      </c>
      <c r="EL11" s="13">
        <f t="shared" si="45"/>
        <v>1.7390830520969034</v>
      </c>
      <c r="EM11" s="20">
        <f t="shared" si="19"/>
        <v>10.858027163519033</v>
      </c>
      <c r="EN11" s="59">
        <f t="shared" si="20"/>
        <v>304.19136049685233</v>
      </c>
      <c r="EO11" s="59">
        <f ca="1">AVERAGE(OFFSET($EN$3,0,0,'Données projet'!$E$15+1,1))-AVERAGE(OFFSET($H$3,0,0,'Données projet'!$E$15+1,1))</f>
        <v>178.71569711875242</v>
      </c>
      <c r="EP11" s="59">
        <f t="shared" si="46"/>
        <v>178.13848582064168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2.1</v>
      </c>
      <c r="FE11" s="12">
        <f>IF('Données projet'!$A$218&gt;35,FE10+FD11-FM10,IF(A11&lt;'Données projet'!$A$218,$FB$205^A11,IF(A11='Données projet'!$A$218,'Données projet'!$B$218,FE10+FD11-FM10)))</f>
        <v>4.4596391171162209</v>
      </c>
      <c r="FF11" s="17">
        <f>FE11*VLOOKUP('Données projet'!$B$16,Paramètres!$A$1:$I$89,3,0)*VLOOKUP('Données projet'!$B$16,Paramètres!$A$1:$I$89,5,0)</f>
        <v>3.7567999922587045</v>
      </c>
      <c r="FG11" s="13">
        <f t="shared" si="47"/>
        <v>1.4840936789913857</v>
      </c>
      <c r="FH11" s="20">
        <f t="shared" si="22"/>
        <v>9.127889810760573</v>
      </c>
      <c r="FI11" s="59">
        <f t="shared" si="23"/>
        <v>302.46122314409388</v>
      </c>
      <c r="FJ11" s="59">
        <f ca="1">AVERAGE(OFFSET($FI$3,0,0,'Données projet'!$E$16+1,1))-AVERAGE(OFFSET($H$3,0,0,'Données projet'!$E$16+1,1))</f>
        <v>247.22536892257716</v>
      </c>
      <c r="FK11" s="59">
        <f t="shared" si="48"/>
        <v>147.97952262756075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6">
        <f t="shared" si="1"/>
        <v>303.80274897548452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5.8</v>
      </c>
      <c r="N12" s="13">
        <f>IF('Données projet'!$A$36&gt;35,N11+M12-V11,IF(A12&lt;'Données projet'!$A$36,$K$205^A12,IF(A12='Données projet'!$A$36,'Données projet'!$B$36,N11+M12-V11)))</f>
        <v>14.578456710130657</v>
      </c>
      <c r="O12" s="13">
        <f>N12*VLOOKUP('Données projet'!$B$9,Paramètres!$A$1:$I$89,3,0)*VLOOKUP('Données projet'!$B$9,Paramètres!$A$1:$I$89,5,0)</f>
        <v>12.735739781970144</v>
      </c>
      <c r="P12" s="13">
        <f t="shared" si="33"/>
        <v>4.364670141362768</v>
      </c>
      <c r="Q12" s="20">
        <f t="shared" si="2"/>
        <v>29.783213949804821</v>
      </c>
      <c r="R12" s="59">
        <f t="shared" si="0"/>
        <v>323.11654728313812</v>
      </c>
      <c r="S12" s="59">
        <f ca="1">AVERAGE(OFFSET($R$3,0,0,'Données projet'!$E$9+1,1))-AVERAGE(OFFSET($H$3,0,0,'Données projet'!$E$9+1,1))</f>
        <v>253.73326067725128</v>
      </c>
      <c r="T12" s="59">
        <f t="shared" si="34"/>
        <v>317.76427047458026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1.8666666666666667</v>
      </c>
      <c r="AI12" s="13">
        <f>IF('Données projet'!$A$62&gt;35,AI11+AH12-AQ11,IF(A12&lt;'Données projet'!$A$62,$AF$205^A12,IF(A12='Données projet'!$A$62,'Données projet'!$B$62,AI11+AH12-AQ11)))</f>
        <v>7.3840532307432198</v>
      </c>
      <c r="AJ12" s="13">
        <f>AI12*VLOOKUP('Données projet'!$B$10,Paramètres!$A$1:$I$89,3,0)*VLOOKUP('Données projet'!$B$10,Paramètres!$A$1:$I$89,5,0)</f>
        <v>3.5517296039874888</v>
      </c>
      <c r="AK12" s="13">
        <f t="shared" si="35"/>
        <v>1.4122798287976188</v>
      </c>
      <c r="AL12" s="20">
        <f t="shared" si="4"/>
        <v>8.6456497621007298</v>
      </c>
      <c r="AM12" s="59">
        <f t="shared" si="5"/>
        <v>301.97898309543405</v>
      </c>
      <c r="AN12" s="59">
        <f ca="1">AVERAGE(OFFSET($AM$3,0,0,'Données projet'!$E$10+1,1))-AVERAGE(OFFSET($H$3,0,0,'Données projet'!$E$10+1,1))</f>
        <v>349.65790906807746</v>
      </c>
      <c r="AO12" s="59">
        <f t="shared" si="36"/>
        <v>291.88925884278888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1.1000000000000001</v>
      </c>
      <c r="BD12" s="12">
        <f>IF('Données projet'!$A$88&gt;35,BD11+BC12-BL11,IF(A12&lt;'Données projet'!$A$88,$BA$205^A12,IF(A12='Données projet'!$A$88,'Données projet'!$B$88,BD11+BC12-BL11)))</f>
        <v>8.6547278641645029</v>
      </c>
      <c r="BE12" s="13">
        <f>BD12*VLOOKUP('Données projet'!$B$11,Paramètres!$A$1:$I$89,3,0)*VLOOKUP('Données projet'!$B$11,Paramètres!$A$1:$I$89,5,0)</f>
        <v>6.8857014887292793</v>
      </c>
      <c r="BF12" s="13">
        <f t="shared" si="37"/>
        <v>2.5349131627802968</v>
      </c>
      <c r="BG12" s="20">
        <f t="shared" si="7"/>
        <v>16.407570518045844</v>
      </c>
      <c r="BH12" s="59">
        <f t="shared" si="8"/>
        <v>309.74090385137913</v>
      </c>
      <c r="BI12" s="59">
        <f ca="1">AVERAGE(OFFSET($BH$3,0,0,'Données projet'!$E$11+1,1))-AVERAGE(OFFSET($H$3,0,0,'Données projet'!$E$11+1,1))</f>
        <v>279.49721661620544</v>
      </c>
      <c r="BJ12" s="59">
        <f t="shared" si="38"/>
        <v>275.18739333988754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2.4666666666666668</v>
      </c>
      <c r="BY12" s="12">
        <f>IF('Données projet'!$A$114&gt;35,BY11+BX12-CG11,IF(A12&lt;'Données projet'!$A$114,$BV$205^A12,IF(A12='Données projet'!$A$114,'Données projet'!$B$114,BY11+BX12-CG11)))</f>
        <v>8.7281265486761299</v>
      </c>
      <c r="BZ12" s="13">
        <f>BY12*VLOOKUP('Données projet'!$B$12,Paramètres!$A$1:$I$89,3,0)*VLOOKUP('Données projet'!$B$12,Paramètres!$A$1:$I$89,5,0)</f>
        <v>8.4418439978795536</v>
      </c>
      <c r="CA12" s="13">
        <f t="shared" si="39"/>
        <v>3.0349537894702676</v>
      </c>
      <c r="CB12" s="20">
        <f t="shared" si="10"/>
        <v>19.988756146300936</v>
      </c>
      <c r="CC12" s="59">
        <f t="shared" si="11"/>
        <v>313.32208947963426</v>
      </c>
      <c r="CD12" s="59">
        <f ca="1">AVERAGE(OFFSET($CC$3,0,0,'Données projet'!$E$12+1,1))-AVERAGE(OFFSET($H$3,0,0,'Données projet'!$E$12+1,1))</f>
        <v>281.84871057356037</v>
      </c>
      <c r="CE12" s="59">
        <f t="shared" si="40"/>
        <v>276.02211904126887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1.1000000000000001</v>
      </c>
      <c r="CT12" s="12">
        <f>IF('Données projet'!$A$140&gt;35,CT11+CS12-DB11,IF(A12&lt;'Données projet'!$A$140,$CQ$205^A12,IF(A12='Données projet'!$A$140,'Données projet'!$B$140,CT11+CS12-DB11)))</f>
        <v>8.6547278641645029</v>
      </c>
      <c r="CU12" s="17">
        <f>CT12*VLOOKUP('Données projet'!$B$13,Paramètres!$A$1:$I$89,3,0)*VLOOKUP('Données projet'!$B$13,Paramètres!$A$1:$I$89,5,0)</f>
        <v>6.8857014887292793</v>
      </c>
      <c r="CV12" s="13">
        <f t="shared" si="41"/>
        <v>2.5349131627802968</v>
      </c>
      <c r="CW12" s="20">
        <f t="shared" si="13"/>
        <v>16.407570518045844</v>
      </c>
      <c r="CX12" s="59">
        <f t="shared" si="14"/>
        <v>309.74090385137913</v>
      </c>
      <c r="CY12" s="59">
        <f ca="1">AVERAGE(OFFSET($CX$3,0,0,'Données projet'!$E$13+1,1))-AVERAGE(OFFSET($H$3,0,0,'Données projet'!$E$13+1,1))</f>
        <v>279.49721661620544</v>
      </c>
      <c r="CZ12" s="59">
        <f t="shared" si="42"/>
        <v>275.18739333988754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2.1</v>
      </c>
      <c r="DO12" s="12">
        <f>IF('Données projet'!$A$166&gt;35,DO11+DN12-DW11,IF(A12&lt;'Données projet'!$A$166,$DL$205^A12,IF(A12='Données projet'!$A$166,'Données projet'!$B$166,DO11+DN12-DW11)))</f>
        <v>5.3760361537574148</v>
      </c>
      <c r="DP12" s="17">
        <f>DO12*VLOOKUP('Données projet'!$B$14,Paramètres!$A$1:$I$89,3,0)*VLOOKUP('Données projet'!$B$14,Paramètres!$A$1:$I$89,5,0)</f>
        <v>5.4513006599100189</v>
      </c>
      <c r="DQ12" s="13">
        <f t="shared" si="43"/>
        <v>2.062165822468125</v>
      </c>
      <c r="DR12" s="20">
        <f t="shared" si="16"/>
        <v>13.085954123475267</v>
      </c>
      <c r="DS12" s="59">
        <f t="shared" si="17"/>
        <v>306.4192874568086</v>
      </c>
      <c r="DT12" s="59">
        <f ca="1">AVERAGE(OFFSET($DS$3,0,0,'Données projet'!$E$14+1,1))-AVERAGE(OFFSET($H$3,0,0,'Données projet'!$E$14+1,1))</f>
        <v>308.80022073574963</v>
      </c>
      <c r="DU12" s="59">
        <f t="shared" si="44"/>
        <v>183.96267407004115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2.4666666666666668</v>
      </c>
      <c r="EJ12" s="12">
        <f>IF('Données projet'!$A$192&gt;35,EJ11+EI12-ER11,IF(A12&lt;'Données projet'!$A$192,$EG$205^A12,IF(A12='Données projet'!$A$192,'Données projet'!$B$192,EJ11+EI12-ER11)))</f>
        <v>8.7281265486761299</v>
      </c>
      <c r="EK12" s="17">
        <f>EJ12*VLOOKUP('Données projet'!$B$15,Paramètres!$A$1:$I$89,3,0)*VLOOKUP('Données projet'!$B$15,Paramètres!$A$1:$I$89,5,0)</f>
        <v>5.7186685146926006</v>
      </c>
      <c r="EL12" s="13">
        <f t="shared" si="45"/>
        <v>2.1512845537982104</v>
      </c>
      <c r="EM12" s="20">
        <f t="shared" si="19"/>
        <v>13.706834927621495</v>
      </c>
      <c r="EN12" s="59">
        <f t="shared" si="20"/>
        <v>307.04016826095483</v>
      </c>
      <c r="EO12" s="59">
        <f ca="1">AVERAGE(OFFSET($EN$3,0,0,'Données projet'!$E$15+1,1))-AVERAGE(OFFSET($H$3,0,0,'Données projet'!$E$15+1,1))</f>
        <v>178.71569711875242</v>
      </c>
      <c r="EP12" s="59">
        <f t="shared" si="46"/>
        <v>178.13848582064168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2.1</v>
      </c>
      <c r="FE12" s="12">
        <f>IF('Données projet'!$A$218&gt;35,FE11+FD12-FM11,IF(A12&lt;'Données projet'!$A$218,$FB$205^A12,IF(A12='Données projet'!$A$218,'Données projet'!$B$218,FE11+FD12-FM11)))</f>
        <v>5.3760361537574148</v>
      </c>
      <c r="FF12" s="17">
        <f>FE12*VLOOKUP('Données projet'!$B$16,Paramètres!$A$1:$I$89,3,0)*VLOOKUP('Données projet'!$B$16,Paramètres!$A$1:$I$89,5,0)</f>
        <v>4.5287728559252471</v>
      </c>
      <c r="FG12" s="13">
        <f t="shared" si="47"/>
        <v>1.7505578568733651</v>
      </c>
      <c r="FH12" s="20">
        <f t="shared" si="22"/>
        <v>10.93650099145758</v>
      </c>
      <c r="FI12" s="59">
        <f t="shared" si="23"/>
        <v>304.26983432479091</v>
      </c>
      <c r="FJ12" s="59">
        <f ca="1">AVERAGE(OFFSET($FI$3,0,0,'Données projet'!$E$16+1,1))-AVERAGE(OFFSET($H$3,0,0,'Données projet'!$E$16+1,1))</f>
        <v>247.22536892257716</v>
      </c>
      <c r="FK12" s="59">
        <f t="shared" si="48"/>
        <v>147.97952262756075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6">
        <f t="shared" si="1"/>
        <v>304.92633870438061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5.8</v>
      </c>
      <c r="N13" s="13">
        <f>IF('Données projet'!$A$36&gt;35,N12+M13-V12,IF(A13&lt;'Données projet'!$A$36,$K$205^A13,IF(A13='Données projet'!$A$36,'Données projet'!$B$36,N12+M13-V12)))</f>
        <v>19.634183025716826</v>
      </c>
      <c r="O13" s="13">
        <f>N13*VLOOKUP('Données projet'!$B$9,Paramètres!$A$1:$I$89,3,0)*VLOOKUP('Données projet'!$B$9,Paramètres!$A$1:$I$89,5,0)</f>
        <v>17.152422291266223</v>
      </c>
      <c r="P13" s="13">
        <f t="shared" si="33"/>
        <v>5.678086989362658</v>
      </c>
      <c r="Q13" s="20">
        <f t="shared" si="2"/>
        <v>39.763136997095295</v>
      </c>
      <c r="R13" s="59">
        <f t="shared" si="0"/>
        <v>333.09647033042859</v>
      </c>
      <c r="S13" s="59">
        <f ca="1">AVERAGE(OFFSET($R$3,0,0,'Données projet'!$E$9+1,1))-AVERAGE(OFFSET($H$3,0,0,'Données projet'!$E$9+1,1))</f>
        <v>253.73326067725128</v>
      </c>
      <c r="T13" s="59">
        <f t="shared" si="34"/>
        <v>317.76427047458026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1.8666666666666667</v>
      </c>
      <c r="AI13" s="13">
        <f>IF('Données projet'!$A$62&gt;35,AI12+AH13-AQ12,IF(A13&lt;'Données projet'!$A$62,$AF$205^A13,IF(A13='Données projet'!$A$62,'Données projet'!$B$62,AI12+AH13-AQ12)))</f>
        <v>9.2208725841168899</v>
      </c>
      <c r="AJ13" s="13">
        <f>AI13*VLOOKUP('Données projet'!$B$10,Paramètres!$A$1:$I$89,3,0)*VLOOKUP('Données projet'!$B$10,Paramètres!$A$1:$I$89,5,0)</f>
        <v>4.4352397129602243</v>
      </c>
      <c r="AK13" s="13">
        <f t="shared" si="35"/>
        <v>1.7185731091393626</v>
      </c>
      <c r="AL13" s="20">
        <f t="shared" si="4"/>
        <v>10.71789066515678</v>
      </c>
      <c r="AM13" s="59">
        <f t="shared" si="5"/>
        <v>304.05122399849012</v>
      </c>
      <c r="AN13" s="59">
        <f ca="1">AVERAGE(OFFSET($AM$3,0,0,'Données projet'!$E$10+1,1))-AVERAGE(OFFSET($H$3,0,0,'Données projet'!$E$10+1,1))</f>
        <v>349.65790906807746</v>
      </c>
      <c r="AO13" s="59">
        <f t="shared" si="36"/>
        <v>291.88925884278888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11</v>
      </c>
      <c r="BB13" s="12">
        <f>VLOOKUP(A13,'Données projet'!$A$87:$I$107,9,0)</f>
        <v>1.1000000000000001</v>
      </c>
      <c r="BC13" s="12">
        <f t="array" ref="BC13">INDEX(BB:BB,MIN(IF(ISNUMBER(BB13:BB209),ROW(BB13:BB209),"")))</f>
        <v>1.1000000000000001</v>
      </c>
      <c r="BD13" s="12">
        <f>IF('Données projet'!$A$88&gt;35,BD12+BC13-BL12,IF(A13&lt;'Données projet'!$A$88,$BA$205^A13,IF(A13='Données projet'!$A$88,'Données projet'!$B$88,BD12+BC13-BL12)))</f>
        <v>11</v>
      </c>
      <c r="BE13" s="13">
        <f>BD13*VLOOKUP('Données projet'!$B$11,Paramètres!$A$1:$I$89,3,0)*VLOOKUP('Données projet'!$B$11,Paramètres!$A$1:$I$89,5,0)</f>
        <v>8.7516000000000016</v>
      </c>
      <c r="BF13" s="13">
        <f t="shared" si="37"/>
        <v>3.1331453604025001</v>
      </c>
      <c r="BG13" s="20">
        <f t="shared" si="7"/>
        <v>20.699264836034356</v>
      </c>
      <c r="BH13" s="59">
        <f t="shared" si="8"/>
        <v>314.03259816936765</v>
      </c>
      <c r="BI13" s="59">
        <f ca="1">AVERAGE(OFFSET($BH$3,0,0,'Données projet'!$E$11+1,1))-AVERAGE(OFFSET($H$3,0,0,'Données projet'!$E$11+1,1))</f>
        <v>279.49721661620544</v>
      </c>
      <c r="BJ13" s="59">
        <f t="shared" si="38"/>
        <v>275.18739333988754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2.4666666666666668</v>
      </c>
      <c r="BY13" s="12">
        <f>IF('Données projet'!$A$114&gt;35,BY12+BX13-CG12,IF(A13&lt;'Données projet'!$A$114,$BV$205^A13,IF(A13='Données projet'!$A$114,'Données projet'!$B$114,BY12+BX13-CG12)))</f>
        <v>11.103702468586782</v>
      </c>
      <c r="BZ13" s="13">
        <f>BY13*VLOOKUP('Données projet'!$B$12,Paramètres!$A$1:$I$89,3,0)*VLOOKUP('Données projet'!$B$12,Paramètres!$A$1:$I$89,5,0)</f>
        <v>10.739501027617136</v>
      </c>
      <c r="CA13" s="13">
        <f t="shared" si="39"/>
        <v>3.7543055812695765</v>
      </c>
      <c r="CB13" s="20">
        <f t="shared" si="10"/>
        <v>25.243379843811024</v>
      </c>
      <c r="CC13" s="59">
        <f t="shared" si="11"/>
        <v>318.57671317714431</v>
      </c>
      <c r="CD13" s="59">
        <f ca="1">AVERAGE(OFFSET($CC$3,0,0,'Données projet'!$E$12+1,1))-AVERAGE(OFFSET($H$3,0,0,'Données projet'!$E$12+1,1))</f>
        <v>281.84871057356037</v>
      </c>
      <c r="CE13" s="59">
        <f t="shared" si="40"/>
        <v>276.02211904126887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>
        <f>VLOOKUP(A13,'Données projet'!$A$139:$I$159,2,0)</f>
        <v>11</v>
      </c>
      <c r="CR13" s="12">
        <f>VLOOKUP(A13,'Données projet'!$A$139:$I$159,9,0)</f>
        <v>1.1000000000000001</v>
      </c>
      <c r="CS13" s="12">
        <f t="array" ref="CS13">INDEX(CR:CR,MIN(IF(ISNUMBER(CR13:CR209),ROW(CR13:CR209),"")))</f>
        <v>1.1000000000000001</v>
      </c>
      <c r="CT13" s="12">
        <f>IF('Données projet'!$A$140&gt;35,CT12+CS13-DB12,IF(A13&lt;'Données projet'!$A$140,$CQ$205^A13,IF(A13='Données projet'!$A$140,'Données projet'!$B$140,CT12+CS13-DB12)))</f>
        <v>11</v>
      </c>
      <c r="CU13" s="17">
        <f>CT13*VLOOKUP('Données projet'!$B$13,Paramètres!$A$1:$I$89,3,0)*VLOOKUP('Données projet'!$B$13,Paramètres!$A$1:$I$89,5,0)</f>
        <v>8.7516000000000016</v>
      </c>
      <c r="CV13" s="13">
        <f t="shared" si="41"/>
        <v>3.1331453604025001</v>
      </c>
      <c r="CW13" s="20">
        <f t="shared" si="13"/>
        <v>20.699264836034356</v>
      </c>
      <c r="CX13" s="59">
        <f t="shared" si="14"/>
        <v>314.03259816936765</v>
      </c>
      <c r="CY13" s="59">
        <f ca="1">AVERAGE(OFFSET($CX$3,0,0,'Données projet'!$E$13+1,1))-AVERAGE(OFFSET($H$3,0,0,'Données projet'!$E$13+1,1))</f>
        <v>279.49721661620544</v>
      </c>
      <c r="CZ13" s="59">
        <f t="shared" si="42"/>
        <v>275.18739333988754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2.1</v>
      </c>
      <c r="DO13" s="12">
        <f>IF('Données projet'!$A$166&gt;35,DO12+DN13-DW12,IF(A13&lt;'Données projet'!$A$166,$DL$205^A13,IF(A13='Données projet'!$A$166,'Données projet'!$B$166,DO12+DN13-DW12)))</f>
        <v>6.4807406984078657</v>
      </c>
      <c r="DP13" s="17">
        <f>DO13*VLOOKUP('Données projet'!$B$14,Paramètres!$A$1:$I$89,3,0)*VLOOKUP('Données projet'!$B$14,Paramètres!$A$1:$I$89,5,0)</f>
        <v>6.5714710681855761</v>
      </c>
      <c r="DQ13" s="13">
        <f t="shared" si="43"/>
        <v>2.4324209676242781</v>
      </c>
      <c r="DR13" s="20">
        <f t="shared" si="16"/>
        <v>15.681778629035497</v>
      </c>
      <c r="DS13" s="59">
        <f t="shared" si="17"/>
        <v>309.01511196236879</v>
      </c>
      <c r="DT13" s="59">
        <f ca="1">AVERAGE(OFFSET($DS$3,0,0,'Données projet'!$E$14+1,1))-AVERAGE(OFFSET($H$3,0,0,'Données projet'!$E$14+1,1))</f>
        <v>308.80022073574963</v>
      </c>
      <c r="DU13" s="59">
        <f t="shared" si="44"/>
        <v>183.96267407004115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2.4666666666666668</v>
      </c>
      <c r="EJ13" s="12">
        <f>IF('Données projet'!$A$192&gt;35,EJ12+EI13-ER12,IF(A13&lt;'Données projet'!$A$192,$EG$205^A13,IF(A13='Données projet'!$A$192,'Données projet'!$B$192,EJ12+EI13-ER12)))</f>
        <v>11.103702468586782</v>
      </c>
      <c r="EK13" s="17">
        <f>EJ13*VLOOKUP('Données projet'!$B$15,Paramètres!$A$1:$I$89,3,0)*VLOOKUP('Données projet'!$B$15,Paramètres!$A$1:$I$89,5,0)</f>
        <v>7.2751458574180594</v>
      </c>
      <c r="EL13" s="13">
        <f t="shared" si="45"/>
        <v>2.6611870122191768</v>
      </c>
      <c r="EM13" s="20">
        <f t="shared" si="19"/>
        <v>17.305779747951522</v>
      </c>
      <c r="EN13" s="59">
        <f t="shared" si="20"/>
        <v>310.63911308128485</v>
      </c>
      <c r="EO13" s="59">
        <f ca="1">AVERAGE(OFFSET($EN$3,0,0,'Données projet'!$E$15+1,1))-AVERAGE(OFFSET($H$3,0,0,'Données projet'!$E$15+1,1))</f>
        <v>178.71569711875242</v>
      </c>
      <c r="EP13" s="59">
        <f t="shared" si="46"/>
        <v>178.13848582064168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2.1</v>
      </c>
      <c r="FE13" s="12">
        <f>IF('Données projet'!$A$218&gt;35,FE12+FD13-FM12,IF(A13&lt;'Données projet'!$A$218,$FB$205^A13,IF(A13='Données projet'!$A$218,'Données projet'!$B$218,FE12+FD13-FM12)))</f>
        <v>6.4807406984078657</v>
      </c>
      <c r="FF13" s="17">
        <f>FE13*VLOOKUP('Données projet'!$B$16,Paramètres!$A$1:$I$89,3,0)*VLOOKUP('Données projet'!$B$16,Paramètres!$A$1:$I$89,5,0)</f>
        <v>5.4593759643387862</v>
      </c>
      <c r="FG13" s="13">
        <f t="shared" si="47"/>
        <v>2.0648648084962673</v>
      </c>
      <c r="FH13" s="20">
        <f t="shared" si="22"/>
        <v>13.104719346021051</v>
      </c>
      <c r="FI13" s="59">
        <f t="shared" si="23"/>
        <v>306.43805267935437</v>
      </c>
      <c r="FJ13" s="59">
        <f ca="1">AVERAGE(OFFSET($FI$3,0,0,'Données projet'!$E$16+1,1))-AVERAGE(OFFSET($H$3,0,0,'Données projet'!$E$16+1,1))</f>
        <v>247.22536892257716</v>
      </c>
      <c r="FK13" s="59">
        <f t="shared" si="48"/>
        <v>147.97952262756075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6">
        <f t="shared" si="1"/>
        <v>306.04661462698317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5.8</v>
      </c>
      <c r="N14" s="13">
        <f>IF('Données projet'!$A$36&gt;35,N13+M14-V13,IF(A14&lt;'Données projet'!$A$36,$K$205^A14,IF(A14='Données projet'!$A$36,'Données projet'!$B$36,N13+M14-V13)))</f>
        <v>26.443206626903088</v>
      </c>
      <c r="O14" s="13">
        <f>N14*VLOOKUP('Données projet'!$B$9,Paramètres!$A$1:$I$89,3,0)*VLOOKUP('Données projet'!$B$9,Paramètres!$A$1:$I$89,5,0)</f>
        <v>23.100785309262541</v>
      </c>
      <c r="P14" s="13">
        <f t="shared" si="33"/>
        <v>7.3867373282653306</v>
      </c>
      <c r="Q14" s="20">
        <f t="shared" si="2"/>
        <v>53.099101927027704</v>
      </c>
      <c r="R14" s="59">
        <f t="shared" si="0"/>
        <v>346.43243526036099</v>
      </c>
      <c r="S14" s="59">
        <f ca="1">AVERAGE(OFFSET($R$3,0,0,'Données projet'!$E$9+1,1))-AVERAGE(OFFSET($H$3,0,0,'Données projet'!$E$9+1,1))</f>
        <v>253.73326067725128</v>
      </c>
      <c r="T14" s="59">
        <f t="shared" si="34"/>
        <v>317.76427047458026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1.8666666666666667</v>
      </c>
      <c r="AI14" s="13">
        <f>IF('Données projet'!$A$62&gt;35,AI13+AH14-AQ13,IF(A14&lt;'Données projet'!$A$62,$AF$205^A14,IF(A14='Données projet'!$A$62,'Données projet'!$B$62,AI13+AH14-AQ13)))</f>
        <v>11.51460973473516</v>
      </c>
      <c r="AJ14" s="13">
        <f>AI14*VLOOKUP('Données projet'!$B$10,Paramètres!$A$1:$I$89,3,0)*VLOOKUP('Données projet'!$B$10,Paramètres!$A$1:$I$89,5,0)</f>
        <v>5.5385272824076131</v>
      </c>
      <c r="AK14" s="13">
        <f t="shared" si="35"/>
        <v>2.0912948491032886</v>
      </c>
      <c r="AL14" s="20">
        <f t="shared" si="4"/>
        <v>13.288606879048153</v>
      </c>
      <c r="AM14" s="59">
        <f t="shared" si="5"/>
        <v>306.62194021238145</v>
      </c>
      <c r="AN14" s="59">
        <f ca="1">AVERAGE(OFFSET($AM$3,0,0,'Données projet'!$E$10+1,1))-AVERAGE(OFFSET($H$3,0,0,'Données projet'!$E$10+1,1))</f>
        <v>349.65790906807746</v>
      </c>
      <c r="AO14" s="59">
        <f t="shared" si="36"/>
        <v>291.88925884278888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10.8</v>
      </c>
      <c r="BD14" s="12">
        <f>IF('Données projet'!$A$88&gt;35,BD13+BC14-BL13,IF(A14&lt;'Données projet'!$A$88,$BA$205^A14,IF(A14='Données projet'!$A$88,'Données projet'!$B$88,BD13+BC14-BL13)))</f>
        <v>21.8</v>
      </c>
      <c r="BE14" s="13">
        <f>BD14*VLOOKUP('Données projet'!$B$11,Paramètres!$A$1:$I$89,3,0)*VLOOKUP('Données projet'!$B$11,Paramètres!$A$1:$I$89,5,0)</f>
        <v>17.344080000000002</v>
      </c>
      <c r="BF14" s="13">
        <f t="shared" si="37"/>
        <v>5.7341113912136308</v>
      </c>
      <c r="BG14" s="20">
        <f t="shared" si="7"/>
        <v>40.194516673030414</v>
      </c>
      <c r="BH14" s="59">
        <f t="shared" si="8"/>
        <v>333.52785000636374</v>
      </c>
      <c r="BI14" s="59">
        <f ca="1">AVERAGE(OFFSET($BH$3,0,0,'Données projet'!$E$11+1,1))-AVERAGE(OFFSET($H$3,0,0,'Données projet'!$E$11+1,1))</f>
        <v>279.49721661620544</v>
      </c>
      <c r="BJ14" s="59">
        <f t="shared" si="38"/>
        <v>275.18739333988754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2.4666666666666668</v>
      </c>
      <c r="BY14" s="12">
        <f>IF('Données projet'!$A$114&gt;35,BY13+BX14-CG13,IF(A14&lt;'Données projet'!$A$114,$BV$205^A14,IF(A14='Données projet'!$A$114,'Données projet'!$B$114,BY13+BX14-CG13)))</f>
        <v>14.125850240977657</v>
      </c>
      <c r="BZ14" s="13">
        <f>BY14*VLOOKUP('Données projet'!$B$12,Paramètres!$A$1:$I$89,3,0)*VLOOKUP('Données projet'!$B$12,Paramètres!$A$1:$I$89,5,0)</f>
        <v>13.662522353073591</v>
      </c>
      <c r="CA14" s="13">
        <f t="shared" si="39"/>
        <v>4.6441598044931194</v>
      </c>
      <c r="CB14" s="20">
        <f t="shared" si="10"/>
        <v>31.884138091095355</v>
      </c>
      <c r="CC14" s="59">
        <f t="shared" si="11"/>
        <v>325.21747142442865</v>
      </c>
      <c r="CD14" s="59">
        <f ca="1">AVERAGE(OFFSET($CC$3,0,0,'Données projet'!$E$12+1,1))-AVERAGE(OFFSET($H$3,0,0,'Données projet'!$E$12+1,1))</f>
        <v>281.84871057356037</v>
      </c>
      <c r="CE14" s="59">
        <f t="shared" si="40"/>
        <v>276.02211904126887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10.8</v>
      </c>
      <c r="CT14" s="12">
        <f>IF('Données projet'!$A$140&gt;35,CT13+CS14-DB13,IF(A14&lt;'Données projet'!$A$140,$CQ$205^A14,IF(A14='Données projet'!$A$140,'Données projet'!$B$140,CT13+CS14-DB13)))</f>
        <v>21.8</v>
      </c>
      <c r="CU14" s="17">
        <f>CT14*VLOOKUP('Données projet'!$B$13,Paramètres!$A$1:$I$89,3,0)*VLOOKUP('Données projet'!$B$13,Paramètres!$A$1:$I$89,5,0)</f>
        <v>17.344080000000002</v>
      </c>
      <c r="CV14" s="13">
        <f t="shared" si="41"/>
        <v>5.7341113912136308</v>
      </c>
      <c r="CW14" s="20">
        <f t="shared" si="13"/>
        <v>40.194516673030414</v>
      </c>
      <c r="CX14" s="59">
        <f t="shared" si="14"/>
        <v>333.52785000636374</v>
      </c>
      <c r="CY14" s="59">
        <f ca="1">AVERAGE(OFFSET($CX$3,0,0,'Données projet'!$E$13+1,1))-AVERAGE(OFFSET($H$3,0,0,'Données projet'!$E$13+1,1))</f>
        <v>279.49721661620544</v>
      </c>
      <c r="CZ14" s="59">
        <f t="shared" si="42"/>
        <v>275.18739333988754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2.1</v>
      </c>
      <c r="DO14" s="12">
        <f>IF('Données projet'!$A$166&gt;35,DO13+DN14-DW13,IF(A14&lt;'Données projet'!$A$166,$DL$205^A14,IF(A14='Données projet'!$A$166,'Données projet'!$B$166,DO13+DN14-DW13)))</f>
        <v>7.8124474610620815</v>
      </c>
      <c r="DP14" s="17">
        <f>DO14*VLOOKUP('Données projet'!$B$14,Paramètres!$A$1:$I$89,3,0)*VLOOKUP('Données projet'!$B$14,Paramètres!$A$1:$I$89,5,0)</f>
        <v>7.921821725516951</v>
      </c>
      <c r="DQ14" s="13">
        <f t="shared" si="43"/>
        <v>2.869154216054651</v>
      </c>
      <c r="DR14" s="20">
        <f t="shared" si="16"/>
        <v>18.794283098237205</v>
      </c>
      <c r="DS14" s="59">
        <f t="shared" si="17"/>
        <v>312.12761643157052</v>
      </c>
      <c r="DT14" s="59">
        <f ca="1">AVERAGE(OFFSET($DS$3,0,0,'Données projet'!$E$14+1,1))-AVERAGE(OFFSET($H$3,0,0,'Données projet'!$E$14+1,1))</f>
        <v>308.80022073574963</v>
      </c>
      <c r="DU14" s="59">
        <f t="shared" si="44"/>
        <v>183.96267407004115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2.4666666666666668</v>
      </c>
      <c r="EJ14" s="12">
        <f>IF('Données projet'!$A$192&gt;35,EJ13+EI14-ER13,IF(A14&lt;'Données projet'!$A$192,$EG$205^A14,IF(A14='Données projet'!$A$192,'Données projet'!$B$192,EJ13+EI14-ER13)))</f>
        <v>14.125850240977657</v>
      </c>
      <c r="EK14" s="17">
        <f>EJ14*VLOOKUP('Données projet'!$B$15,Paramètres!$A$1:$I$89,3,0)*VLOOKUP('Données projet'!$B$15,Paramètres!$A$1:$I$89,5,0)</f>
        <v>9.2552570778885617</v>
      </c>
      <c r="EL14" s="13">
        <f t="shared" si="45"/>
        <v>3.2919477349012349</v>
      </c>
      <c r="EM14" s="20">
        <f t="shared" si="19"/>
        <v>21.853048382275563</v>
      </c>
      <c r="EN14" s="59">
        <f t="shared" si="20"/>
        <v>315.18638171560889</v>
      </c>
      <c r="EO14" s="59">
        <f ca="1">AVERAGE(OFFSET($EN$3,0,0,'Données projet'!$E$15+1,1))-AVERAGE(OFFSET($H$3,0,0,'Données projet'!$E$15+1,1))</f>
        <v>178.71569711875242</v>
      </c>
      <c r="EP14" s="59">
        <f t="shared" si="46"/>
        <v>178.13848582064168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2.1</v>
      </c>
      <c r="FE14" s="12">
        <f>IF('Données projet'!$A$218&gt;35,FE13+FD14-FM13,IF(A14&lt;'Données projet'!$A$218,$FB$205^A14,IF(A14='Données projet'!$A$218,'Données projet'!$B$218,FE13+FD14-FM13)))</f>
        <v>7.8124474610620815</v>
      </c>
      <c r="FF14" s="17">
        <f>FE14*VLOOKUP('Données projet'!$B$16,Paramètres!$A$1:$I$89,3,0)*VLOOKUP('Données projet'!$B$16,Paramètres!$A$1:$I$89,5,0)</f>
        <v>6.5812057411986977</v>
      </c>
      <c r="FG14" s="13">
        <f t="shared" si="47"/>
        <v>2.4356045477877388</v>
      </c>
      <c r="FH14" s="20">
        <f t="shared" si="22"/>
        <v>15.70427791998471</v>
      </c>
      <c r="FI14" s="59">
        <f t="shared" si="23"/>
        <v>309.037611253318</v>
      </c>
      <c r="FJ14" s="59">
        <f ca="1">AVERAGE(OFFSET($FI$3,0,0,'Données projet'!$E$16+1,1))-AVERAGE(OFFSET($H$3,0,0,'Données projet'!$E$16+1,1))</f>
        <v>247.22536892257716</v>
      </c>
      <c r="FK14" s="59">
        <f t="shared" si="48"/>
        <v>147.97952262756075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6">
        <f t="shared" si="1"/>
        <v>307.1639122593399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5.8</v>
      </c>
      <c r="N15" s="13">
        <f>IF('Données projet'!$A$36&gt;35,N14+M15-V14,IF(A15&lt;'Données projet'!$A$36,$K$205^A15,IF(A15='Données projet'!$A$36,'Données projet'!$B$36,N14+M15-V14)))</f>
        <v>35.613561093793592</v>
      </c>
      <c r="O15" s="13">
        <f>N15*VLOOKUP('Données projet'!$B$9,Paramètres!$A$1:$I$89,3,0)*VLOOKUP('Données projet'!$B$9,Paramètres!$A$1:$I$89,5,0)</f>
        <v>31.112006971538086</v>
      </c>
      <c r="P15" s="13">
        <f t="shared" si="33"/>
        <v>9.6095548481396289</v>
      </c>
      <c r="Q15" s="20">
        <f t="shared" si="2"/>
        <v>70.9233868359387</v>
      </c>
      <c r="R15" s="59">
        <f t="shared" si="0"/>
        <v>364.256720169272</v>
      </c>
      <c r="S15" s="59">
        <f ca="1">AVERAGE(OFFSET($R$3,0,0,'Données projet'!$E$9+1,1))-AVERAGE(OFFSET($H$3,0,0,'Données projet'!$E$9+1,1))</f>
        <v>253.73326067725128</v>
      </c>
      <c r="T15" s="59">
        <f t="shared" si="34"/>
        <v>317.76427047458026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1.8666666666666667</v>
      </c>
      <c r="AI15" s="13">
        <f>IF('Données projet'!$A$62&gt;35,AI14+AH15-AQ14,IF(A15&lt;'Données projet'!$A$62,$AF$205^A15,IF(A15='Données projet'!$A$62,'Données projet'!$B$62,AI14+AH15-AQ14)))</f>
        <v>14.378925219250917</v>
      </c>
      <c r="AJ15" s="13">
        <f>AI15*VLOOKUP('Données projet'!$B$10,Paramètres!$A$1:$I$89,3,0)*VLOOKUP('Données projet'!$B$10,Paramètres!$A$1:$I$89,5,0)</f>
        <v>6.9162630304596915</v>
      </c>
      <c r="AK15" s="13">
        <f t="shared" si="35"/>
        <v>2.5448519604011151</v>
      </c>
      <c r="AL15" s="20">
        <f t="shared" si="4"/>
        <v>16.478108609082572</v>
      </c>
      <c r="AM15" s="59">
        <f t="shared" si="5"/>
        <v>309.81144194241591</v>
      </c>
      <c r="AN15" s="59">
        <f ca="1">AVERAGE(OFFSET($AM$3,0,0,'Données projet'!$E$10+1,1))-AVERAGE(OFFSET($H$3,0,0,'Données projet'!$E$10+1,1))</f>
        <v>349.65790906807746</v>
      </c>
      <c r="AO15" s="59">
        <f t="shared" si="36"/>
        <v>291.88925884278888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10.8</v>
      </c>
      <c r="BD15" s="12">
        <f>IF('Données projet'!$A$88&gt;35,BD14+BC15-BL14,IF(A15&lt;'Données projet'!$A$88,$BA$205^A15,IF(A15='Données projet'!$A$88,'Données projet'!$B$88,BD14+BC15-BL14)))</f>
        <v>32.6</v>
      </c>
      <c r="BE15" s="13">
        <f>BD15*VLOOKUP('Données projet'!$B$11,Paramètres!$A$1:$I$89,3,0)*VLOOKUP('Données projet'!$B$11,Paramètres!$A$1:$I$89,5,0)</f>
        <v>25.936560000000004</v>
      </c>
      <c r="BF15" s="13">
        <f t="shared" si="37"/>
        <v>8.1824816304360635</v>
      </c>
      <c r="BG15" s="20">
        <f t="shared" si="7"/>
        <v>59.423997506342801</v>
      </c>
      <c r="BH15" s="59">
        <f t="shared" si="8"/>
        <v>352.75733083967611</v>
      </c>
      <c r="BI15" s="59">
        <f ca="1">AVERAGE(OFFSET($BH$3,0,0,'Données projet'!$E$11+1,1))-AVERAGE(OFFSET($H$3,0,0,'Données projet'!$E$11+1,1))</f>
        <v>279.49721661620544</v>
      </c>
      <c r="BJ15" s="59">
        <f t="shared" si="38"/>
        <v>275.18739333988754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2.4666666666666668</v>
      </c>
      <c r="BY15" s="12">
        <f>IF('Données projet'!$A$114&gt;35,BY14+BX15-CG14,IF(A15&lt;'Données projet'!$A$114,$BV$205^A15,IF(A15='Données projet'!$A$114,'Données projet'!$B$114,BY14+BX15-CG14)))</f>
        <v>17.970550417308221</v>
      </c>
      <c r="BZ15" s="13">
        <f>BY15*VLOOKUP('Données projet'!$B$12,Paramètres!$A$1:$I$89,3,0)*VLOOKUP('Données projet'!$B$12,Paramètres!$A$1:$I$89,5,0)</f>
        <v>17.38111636362051</v>
      </c>
      <c r="CA15" s="13">
        <f t="shared" si="39"/>
        <v>5.7449293412008142</v>
      </c>
      <c r="CB15" s="20">
        <f t="shared" si="10"/>
        <v>40.277862935897133</v>
      </c>
      <c r="CC15" s="59">
        <f t="shared" si="11"/>
        <v>333.61119626923045</v>
      </c>
      <c r="CD15" s="59">
        <f ca="1">AVERAGE(OFFSET($CC$3,0,0,'Données projet'!$E$12+1,1))-AVERAGE(OFFSET($H$3,0,0,'Données projet'!$E$12+1,1))</f>
        <v>281.84871057356037</v>
      </c>
      <c r="CE15" s="59">
        <f t="shared" si="40"/>
        <v>276.02211904126887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10.8</v>
      </c>
      <c r="CT15" s="12">
        <f>IF('Données projet'!$A$140&gt;35,CT14+CS15-DB14,IF(A15&lt;'Données projet'!$A$140,$CQ$205^A15,IF(A15='Données projet'!$A$140,'Données projet'!$B$140,CT14+CS15-DB14)))</f>
        <v>32.6</v>
      </c>
      <c r="CU15" s="17">
        <f>CT15*VLOOKUP('Données projet'!$B$13,Paramètres!$A$1:$I$89,3,0)*VLOOKUP('Données projet'!$B$13,Paramètres!$A$1:$I$89,5,0)</f>
        <v>25.936560000000004</v>
      </c>
      <c r="CV15" s="13">
        <f t="shared" si="41"/>
        <v>8.1824816304360635</v>
      </c>
      <c r="CW15" s="20">
        <f t="shared" si="13"/>
        <v>59.423997506342801</v>
      </c>
      <c r="CX15" s="59">
        <f t="shared" si="14"/>
        <v>352.75733083967611</v>
      </c>
      <c r="CY15" s="59">
        <f ca="1">AVERAGE(OFFSET($CX$3,0,0,'Données projet'!$E$13+1,1))-AVERAGE(OFFSET($H$3,0,0,'Données projet'!$E$13+1,1))</f>
        <v>279.49721661620544</v>
      </c>
      <c r="CZ15" s="59">
        <f t="shared" si="42"/>
        <v>275.18739333988754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2.1</v>
      </c>
      <c r="DO15" s="12">
        <f>IF('Données projet'!$A$166&gt;35,DO14+DN15-DW14,IF(A15&lt;'Données projet'!$A$166,$DL$205^A15,IF(A15='Données projet'!$A$166,'Données projet'!$B$166,DO14+DN15-DW14)))</f>
        <v>9.4178024044149407</v>
      </c>
      <c r="DP15" s="17">
        <f>DO15*VLOOKUP('Données projet'!$B$14,Paramètres!$A$1:$I$89,3,0)*VLOOKUP('Données projet'!$B$14,Paramètres!$A$1:$I$89,5,0)</f>
        <v>9.5496516380767513</v>
      </c>
      <c r="DQ15" s="13">
        <f t="shared" si="43"/>
        <v>3.3843014943027487</v>
      </c>
      <c r="DR15" s="20">
        <f t="shared" si="16"/>
        <v>22.526635038894295</v>
      </c>
      <c r="DS15" s="59">
        <f t="shared" si="17"/>
        <v>315.85996837222763</v>
      </c>
      <c r="DT15" s="59">
        <f ca="1">AVERAGE(OFFSET($DS$3,0,0,'Données projet'!$E$14+1,1))-AVERAGE(OFFSET($H$3,0,0,'Données projet'!$E$14+1,1))</f>
        <v>308.80022073574963</v>
      </c>
      <c r="DU15" s="59">
        <f t="shared" si="44"/>
        <v>183.96267407004115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2.4666666666666668</v>
      </c>
      <c r="EJ15" s="12">
        <f>IF('Données projet'!$A$192&gt;35,EJ14+EI15-ER14,IF(A15&lt;'Données projet'!$A$192,$EG$205^A15,IF(A15='Données projet'!$A$192,'Données projet'!$B$192,EJ14+EI15-ER14)))</f>
        <v>17.970550417308221</v>
      </c>
      <c r="EK15" s="17">
        <f>EJ15*VLOOKUP('Données projet'!$B$15,Paramètres!$A$1:$I$89,3,0)*VLOOKUP('Données projet'!$B$15,Paramètres!$A$1:$I$89,5,0)</f>
        <v>11.774304633420346</v>
      </c>
      <c r="EL15" s="13">
        <f t="shared" si="45"/>
        <v>4.0722128281711418</v>
      </c>
      <c r="EM15" s="20">
        <f t="shared" si="19"/>
        <v>27.599351245605177</v>
      </c>
      <c r="EN15" s="59">
        <f t="shared" si="20"/>
        <v>320.93268457893851</v>
      </c>
      <c r="EO15" s="59">
        <f ca="1">AVERAGE(OFFSET($EN$3,0,0,'Données projet'!$E$15+1,1))-AVERAGE(OFFSET($H$3,0,0,'Données projet'!$E$15+1,1))</f>
        <v>178.71569711875242</v>
      </c>
      <c r="EP15" s="59">
        <f t="shared" si="46"/>
        <v>178.13848582064168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2.1</v>
      </c>
      <c r="FE15" s="12">
        <f>IF('Données projet'!$A$218&gt;35,FE14+FD15-FM14,IF(A15&lt;'Données projet'!$A$218,$FB$205^A15,IF(A15='Données projet'!$A$218,'Données projet'!$B$218,FE14+FD15-FM14)))</f>
        <v>9.4178024044149407</v>
      </c>
      <c r="FF15" s="17">
        <f>FE15*VLOOKUP('Données projet'!$B$16,Paramètres!$A$1:$I$89,3,0)*VLOOKUP('Données projet'!$B$16,Paramètres!$A$1:$I$89,5,0)</f>
        <v>7.9335567454791462</v>
      </c>
      <c r="FG15" s="13">
        <f t="shared" si="47"/>
        <v>2.8729093976493338</v>
      </c>
      <c r="FH15" s="20">
        <f t="shared" si="22"/>
        <v>18.82126186594877</v>
      </c>
      <c r="FI15" s="59">
        <f t="shared" si="23"/>
        <v>312.15459519928208</v>
      </c>
      <c r="FJ15" s="59">
        <f ca="1">AVERAGE(OFFSET($FI$3,0,0,'Données projet'!$E$16+1,1))-AVERAGE(OFFSET($H$3,0,0,'Données projet'!$E$16+1,1))</f>
        <v>247.22536892257716</v>
      </c>
      <c r="FK15" s="59">
        <f t="shared" si="48"/>
        <v>147.97952262756075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6">
        <f t="shared" si="1"/>
        <v>308.27850800940064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5.8</v>
      </c>
      <c r="N16" s="13">
        <f>IF('Données projet'!$A$36&gt;35,N15+M16-V15,IF(A16&lt;'Données projet'!$A$36,$K$205^A16,IF(A16='Données projet'!$A$36,'Données projet'!$B$36,N15+M16-V15)))</f>
        <v>47.964142612378375</v>
      </c>
      <c r="O16" s="13">
        <f>N16*VLOOKUP('Données projet'!$B$9,Paramètres!$A$1:$I$89,3,0)*VLOOKUP('Données projet'!$B$9,Paramètres!$A$1:$I$89,5,0)</f>
        <v>41.901474986173753</v>
      </c>
      <c r="P16" s="13">
        <f t="shared" si="33"/>
        <v>12.501262773491545</v>
      </c>
      <c r="Q16" s="20">
        <f t="shared" si="2"/>
        <v>94.751434931417066</v>
      </c>
      <c r="R16" s="59">
        <f t="shared" si="0"/>
        <v>388.08476826475038</v>
      </c>
      <c r="S16" s="59">
        <f ca="1">AVERAGE(OFFSET($R$3,0,0,'Données projet'!$E$9+1,1))-AVERAGE(OFFSET($H$3,0,0,'Données projet'!$E$9+1,1))</f>
        <v>253.73326067725128</v>
      </c>
      <c r="T16" s="59">
        <f t="shared" si="34"/>
        <v>317.76427047458026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1.8666666666666667</v>
      </c>
      <c r="AI16" s="13">
        <f>IF('Données projet'!$A$62&gt;35,AI15+AH16-AQ15,IF(A16&lt;'Données projet'!$A$62,$AF$205^A16,IF(A16='Données projet'!$A$62,'Données projet'!$B$62,AI15+AH16-AQ15)))</f>
        <v>17.955753188674215</v>
      </c>
      <c r="AJ16" s="13">
        <f>AI16*VLOOKUP('Données projet'!$B$10,Paramètres!$A$1:$I$89,3,0)*VLOOKUP('Données projet'!$B$10,Paramètres!$A$1:$I$89,5,0)</f>
        <v>8.636717283752299</v>
      </c>
      <c r="AK16" s="13">
        <f t="shared" si="35"/>
        <v>3.096775905671223</v>
      </c>
      <c r="AL16" s="20">
        <f t="shared" si="4"/>
        <v>20.435833971579299</v>
      </c>
      <c r="AM16" s="59">
        <f t="shared" si="5"/>
        <v>313.76916730491263</v>
      </c>
      <c r="AN16" s="59">
        <f ca="1">AVERAGE(OFFSET($AM$3,0,0,'Données projet'!$E$10+1,1))-AVERAGE(OFFSET($H$3,0,0,'Données projet'!$E$10+1,1))</f>
        <v>349.65790906807746</v>
      </c>
      <c r="AO16" s="59">
        <f t="shared" si="36"/>
        <v>291.88925884278888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10.8</v>
      </c>
      <c r="BD16" s="12">
        <f>IF('Données projet'!$A$88&gt;35,BD15+BC16-BL15,IF(A16&lt;'Données projet'!$A$88,$BA$205^A16,IF(A16='Données projet'!$A$88,'Données projet'!$B$88,BD15+BC16-BL15)))</f>
        <v>43.400000000000006</v>
      </c>
      <c r="BE16" s="13">
        <f>BD16*VLOOKUP('Données projet'!$B$11,Paramètres!$A$1:$I$89,3,0)*VLOOKUP('Données projet'!$B$11,Paramètres!$A$1:$I$89,5,0)</f>
        <v>34.529040000000009</v>
      </c>
      <c r="BF16" s="13">
        <f t="shared" si="37"/>
        <v>10.536391336679102</v>
      </c>
      <c r="BG16" s="20">
        <f t="shared" si="7"/>
        <v>78.488959578049446</v>
      </c>
      <c r="BH16" s="59">
        <f t="shared" si="8"/>
        <v>371.82229291138276</v>
      </c>
      <c r="BI16" s="59">
        <f ca="1">AVERAGE(OFFSET($BH$3,0,0,'Données projet'!$E$11+1,1))-AVERAGE(OFFSET($H$3,0,0,'Données projet'!$E$11+1,1))</f>
        <v>279.49721661620544</v>
      </c>
      <c r="BJ16" s="59">
        <f t="shared" si="38"/>
        <v>275.18739333988754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2.4666666666666668</v>
      </c>
      <c r="BY16" s="12">
        <f>IF('Données projet'!$A$114&gt;35,BY15+BX16-CG15,IF(A16&lt;'Données projet'!$A$114,$BV$205^A16,IF(A16='Données projet'!$A$114,'Données projet'!$B$114,BY15+BX16-CG15)))</f>
        <v>22.86168101684942</v>
      </c>
      <c r="BZ16" s="13">
        <f>BY16*VLOOKUP('Données projet'!$B$12,Paramètres!$A$1:$I$89,3,0)*VLOOKUP('Données projet'!$B$12,Paramètres!$A$1:$I$89,5,0)</f>
        <v>22.111817879496762</v>
      </c>
      <c r="CA16" s="13">
        <f t="shared" si="39"/>
        <v>7.1066058285632661</v>
      </c>
      <c r="CB16" s="20">
        <f t="shared" si="10"/>
        <v>50.888754624871218</v>
      </c>
      <c r="CC16" s="59">
        <f t="shared" si="11"/>
        <v>344.22208795820455</v>
      </c>
      <c r="CD16" s="59">
        <f ca="1">AVERAGE(OFFSET($CC$3,0,0,'Données projet'!$E$12+1,1))-AVERAGE(OFFSET($H$3,0,0,'Données projet'!$E$12+1,1))</f>
        <v>281.84871057356037</v>
      </c>
      <c r="CE16" s="59">
        <f t="shared" si="40"/>
        <v>276.02211904126887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10.8</v>
      </c>
      <c r="CT16" s="12">
        <f>IF('Données projet'!$A$140&gt;35,CT15+CS16-DB15,IF(A16&lt;'Données projet'!$A$140,$CQ$205^A16,IF(A16='Données projet'!$A$140,'Données projet'!$B$140,CT15+CS16-DB15)))</f>
        <v>43.400000000000006</v>
      </c>
      <c r="CU16" s="17">
        <f>CT16*VLOOKUP('Données projet'!$B$13,Paramètres!$A$1:$I$89,3,0)*VLOOKUP('Données projet'!$B$13,Paramètres!$A$1:$I$89,5,0)</f>
        <v>34.529040000000009</v>
      </c>
      <c r="CV16" s="13">
        <f t="shared" si="41"/>
        <v>10.536391336679102</v>
      </c>
      <c r="CW16" s="20">
        <f t="shared" si="13"/>
        <v>78.488959578049446</v>
      </c>
      <c r="CX16" s="59">
        <f t="shared" si="14"/>
        <v>371.82229291138276</v>
      </c>
      <c r="CY16" s="59">
        <f ca="1">AVERAGE(OFFSET($CX$3,0,0,'Données projet'!$E$13+1,1))-AVERAGE(OFFSET($H$3,0,0,'Données projet'!$E$13+1,1))</f>
        <v>279.49721661620544</v>
      </c>
      <c r="CZ16" s="59">
        <f t="shared" si="42"/>
        <v>275.18739333988754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2.1</v>
      </c>
      <c r="DO16" s="12">
        <f>IF('Données projet'!$A$166&gt;35,DO15+DN16-DW15,IF(A16&lt;'Données projet'!$A$166,$DL$205^A16,IF(A16='Données projet'!$A$166,'Données projet'!$B$166,DO15+DN16-DW15)))</f>
        <v>11.35303662145153</v>
      </c>
      <c r="DP16" s="17">
        <f>DO16*VLOOKUP('Données projet'!$B$14,Paramètres!$A$1:$I$89,3,0)*VLOOKUP('Données projet'!$B$14,Paramètres!$A$1:$I$89,5,0)</f>
        <v>11.511979134151852</v>
      </c>
      <c r="DQ16" s="13">
        <f t="shared" si="43"/>
        <v>3.9919417855793822</v>
      </c>
      <c r="DR16" s="20">
        <f t="shared" si="16"/>
        <v>27.002662268531896</v>
      </c>
      <c r="DS16" s="59">
        <f t="shared" si="17"/>
        <v>320.33599560186519</v>
      </c>
      <c r="DT16" s="59">
        <f ca="1">AVERAGE(OFFSET($DS$3,0,0,'Données projet'!$E$14+1,1))-AVERAGE(OFFSET($H$3,0,0,'Données projet'!$E$14+1,1))</f>
        <v>308.80022073574963</v>
      </c>
      <c r="DU16" s="59">
        <f t="shared" si="44"/>
        <v>183.96267407004115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2.4666666666666668</v>
      </c>
      <c r="EJ16" s="12">
        <f>IF('Données projet'!$A$192&gt;35,EJ15+EI16-ER15,IF(A16&lt;'Données projet'!$A$192,$EG$205^A16,IF(A16='Données projet'!$A$192,'Données projet'!$B$192,EJ15+EI16-ER15)))</f>
        <v>22.86168101684942</v>
      </c>
      <c r="EK16" s="17">
        <f>EJ16*VLOOKUP('Données projet'!$B$15,Paramètres!$A$1:$I$89,3,0)*VLOOKUP('Données projet'!$B$15,Paramètres!$A$1:$I$89,5,0)</f>
        <v>14.97897340223974</v>
      </c>
      <c r="EL16" s="13">
        <f t="shared" si="45"/>
        <v>5.0374181649694805</v>
      </c>
      <c r="EM16" s="20">
        <f t="shared" si="19"/>
        <v>34.861881979556053</v>
      </c>
      <c r="EN16" s="59">
        <f t="shared" si="20"/>
        <v>328.19521531288939</v>
      </c>
      <c r="EO16" s="59">
        <f ca="1">AVERAGE(OFFSET($EN$3,0,0,'Données projet'!$E$15+1,1))-AVERAGE(OFFSET($H$3,0,0,'Données projet'!$E$15+1,1))</f>
        <v>178.71569711875242</v>
      </c>
      <c r="EP16" s="59">
        <f t="shared" si="46"/>
        <v>178.13848582064168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2.1</v>
      </c>
      <c r="FE16" s="12">
        <f>IF('Données projet'!$A$218&gt;35,FE15+FD16-FM15,IF(A16&lt;'Données projet'!$A$218,$FB$205^A16,IF(A16='Données projet'!$A$218,'Données projet'!$B$218,FE15+FD16-FM15)))</f>
        <v>11.35303662145153</v>
      </c>
      <c r="FF16" s="17">
        <f>FE16*VLOOKUP('Données projet'!$B$16,Paramètres!$A$1:$I$89,3,0)*VLOOKUP('Données projet'!$B$16,Paramètres!$A$1:$I$89,5,0)</f>
        <v>9.5637980499107691</v>
      </c>
      <c r="FG16" s="13">
        <f t="shared" si="47"/>
        <v>3.3887309065006521</v>
      </c>
      <c r="FH16" s="20">
        <f t="shared" si="22"/>
        <v>22.558987932416557</v>
      </c>
      <c r="FI16" s="59">
        <f t="shared" si="23"/>
        <v>315.89232126574984</v>
      </c>
      <c r="FJ16" s="59">
        <f ca="1">AVERAGE(OFFSET($FI$3,0,0,'Données projet'!$E$16+1,1))-AVERAGE(OFFSET($H$3,0,0,'Données projet'!$E$16+1,1))</f>
        <v>247.22536892257716</v>
      </c>
      <c r="FK16" s="59">
        <f t="shared" si="48"/>
        <v>147.97952262756075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6">
        <f t="shared" si="1"/>
        <v>309.39063334516135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5.8</v>
      </c>
      <c r="N17" s="13">
        <f>IF('Données projet'!$A$36&gt;35,N16+M17-V16,IF(A17&lt;'Données projet'!$A$36,$K$205^A17,IF(A17='Données projet'!$A$36,'Données projet'!$B$36,N16+M17-V16)))</f>
        <v>64.597835933388069</v>
      </c>
      <c r="O17" s="13">
        <f>N17*VLOOKUP('Données projet'!$B$9,Paramètres!$A$1:$I$89,3,0)*VLOOKUP('Données projet'!$B$9,Paramètres!$A$1:$I$89,5,0)</f>
        <v>56.432669471407827</v>
      </c>
      <c r="P17" s="13">
        <f t="shared" si="33"/>
        <v>16.263143652501352</v>
      </c>
      <c r="Q17" s="20">
        <f t="shared" si="2"/>
        <v>126.61187452414181</v>
      </c>
      <c r="R17" s="59">
        <f t="shared" si="0"/>
        <v>419.94520785747511</v>
      </c>
      <c r="S17" s="59">
        <f ca="1">AVERAGE(OFFSET($R$3,0,0,'Données projet'!$E$9+1,1))-AVERAGE(OFFSET($H$3,0,0,'Données projet'!$E$9+1,1))</f>
        <v>253.73326067725128</v>
      </c>
      <c r="T17" s="59">
        <f t="shared" si="34"/>
        <v>317.76427047458026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1.8666666666666667</v>
      </c>
      <c r="AI17" s="13">
        <f>IF('Données projet'!$A$62&gt;35,AI16+AH17-AQ16,IF(A17&lt;'Données projet'!$A$62,$AF$205^A17,IF(A17='Données projet'!$A$62,'Données projet'!$B$62,AI16+AH17-AQ16)))</f>
        <v>22.42233460821771</v>
      </c>
      <c r="AJ17" s="13">
        <f>AI17*VLOOKUP('Données projet'!$B$10,Paramètres!$A$1:$I$89,3,0)*VLOOKUP('Données projet'!$B$10,Paramètres!$A$1:$I$89,5,0)</f>
        <v>10.785142946552719</v>
      </c>
      <c r="AK17" s="13">
        <f t="shared" si="35"/>
        <v>3.7684003467275389</v>
      </c>
      <c r="AL17" s="20">
        <f t="shared" si="4"/>
        <v>25.347421235796446</v>
      </c>
      <c r="AM17" s="59">
        <f t="shared" si="5"/>
        <v>318.68075456912976</v>
      </c>
      <c r="AN17" s="59">
        <f ca="1">AVERAGE(OFFSET($AM$3,0,0,'Données projet'!$E$10+1,1))-AVERAGE(OFFSET($H$3,0,0,'Données projet'!$E$10+1,1))</f>
        <v>349.65790906807746</v>
      </c>
      <c r="AO17" s="59">
        <f t="shared" si="36"/>
        <v>291.88925884278888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10.8</v>
      </c>
      <c r="BD17" s="12">
        <f>IF('Données projet'!$A$88&gt;35,BD16+BC17-BL16,IF(A17&lt;'Données projet'!$A$88,$BA$205^A17,IF(A17='Données projet'!$A$88,'Données projet'!$B$88,BD16+BC17-BL16)))</f>
        <v>54.2</v>
      </c>
      <c r="BE17" s="13">
        <f>BD17*VLOOKUP('Données projet'!$B$11,Paramètres!$A$1:$I$89,3,0)*VLOOKUP('Données projet'!$B$11,Paramètres!$A$1:$I$89,5,0)</f>
        <v>43.121520000000004</v>
      </c>
      <c r="BF17" s="13">
        <f t="shared" si="37"/>
        <v>12.822353245070515</v>
      </c>
      <c r="BG17" s="20">
        <f t="shared" si="7"/>
        <v>97.435579235164482</v>
      </c>
      <c r="BH17" s="59">
        <f t="shared" si="8"/>
        <v>390.7689125684978</v>
      </c>
      <c r="BI17" s="59">
        <f ca="1">AVERAGE(OFFSET($BH$3,0,0,'Données projet'!$E$11+1,1))-AVERAGE(OFFSET($H$3,0,0,'Données projet'!$E$11+1,1))</f>
        <v>279.49721661620544</v>
      </c>
      <c r="BJ17" s="59">
        <f t="shared" si="38"/>
        <v>275.18739333988754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2.4666666666666668</v>
      </c>
      <c r="BY17" s="12">
        <f>IF('Données projet'!$A$114&gt;35,BY16+BX17-CG16,IF(A17&lt;'Données projet'!$A$114,$BV$205^A17,IF(A17='Données projet'!$A$114,'Données projet'!$B$114,BY16+BX17-CG16)))</f>
        <v>29.084054009429774</v>
      </c>
      <c r="BZ17" s="13">
        <f>BY17*VLOOKUP('Données projet'!$B$12,Paramètres!$A$1:$I$89,3,0)*VLOOKUP('Données projet'!$B$12,Paramètres!$A$1:$I$89,5,0)</f>
        <v>28.130097037920478</v>
      </c>
      <c r="CA17" s="13">
        <f t="shared" si="39"/>
        <v>8.7910300376319253</v>
      </c>
      <c r="CB17" s="20">
        <f t="shared" si="10"/>
        <v>64.30429632325378</v>
      </c>
      <c r="CC17" s="59">
        <f t="shared" si="11"/>
        <v>357.63762965658708</v>
      </c>
      <c r="CD17" s="59">
        <f ca="1">AVERAGE(OFFSET($CC$3,0,0,'Données projet'!$E$12+1,1))-AVERAGE(OFFSET($H$3,0,0,'Données projet'!$E$12+1,1))</f>
        <v>281.84871057356037</v>
      </c>
      <c r="CE17" s="59">
        <f t="shared" si="40"/>
        <v>276.02211904126887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10.8</v>
      </c>
      <c r="CT17" s="12">
        <f>IF('Données projet'!$A$140&gt;35,CT16+CS17-DB16,IF(A17&lt;'Données projet'!$A$140,$CQ$205^A17,IF(A17='Données projet'!$A$140,'Données projet'!$B$140,CT16+CS17-DB16)))</f>
        <v>54.2</v>
      </c>
      <c r="CU17" s="17">
        <f>CT17*VLOOKUP('Données projet'!$B$13,Paramètres!$A$1:$I$89,3,0)*VLOOKUP('Données projet'!$B$13,Paramètres!$A$1:$I$89,5,0)</f>
        <v>43.121520000000004</v>
      </c>
      <c r="CV17" s="13">
        <f t="shared" si="41"/>
        <v>12.822353245070515</v>
      </c>
      <c r="CW17" s="20">
        <f t="shared" si="13"/>
        <v>97.435579235164482</v>
      </c>
      <c r="CX17" s="59">
        <f t="shared" si="14"/>
        <v>390.7689125684978</v>
      </c>
      <c r="CY17" s="59">
        <f ca="1">AVERAGE(OFFSET($CX$3,0,0,'Données projet'!$E$13+1,1))-AVERAGE(OFFSET($H$3,0,0,'Données projet'!$E$13+1,1))</f>
        <v>279.49721661620544</v>
      </c>
      <c r="CZ17" s="59">
        <f t="shared" si="42"/>
        <v>275.18739333988754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2.1</v>
      </c>
      <c r="DO17" s="12">
        <f>IF('Données projet'!$A$166&gt;35,DO16+DN17-DW16,IF(A17&lt;'Données projet'!$A$166,$DL$205^A17,IF(A17='Données projet'!$A$166,'Données projet'!$B$166,DO16+DN17-DW16)))</f>
        <v>13.685935953338433</v>
      </c>
      <c r="DP17" s="17">
        <f>DO17*VLOOKUP('Données projet'!$B$14,Paramètres!$A$1:$I$89,3,0)*VLOOKUP('Données projet'!$B$14,Paramètres!$A$1:$I$89,5,0)</f>
        <v>13.877539056685173</v>
      </c>
      <c r="DQ17" s="13">
        <f t="shared" si="43"/>
        <v>4.7086819085950955</v>
      </c>
      <c r="DR17" s="20">
        <f t="shared" si="16"/>
        <v>32.371001514529802</v>
      </c>
      <c r="DS17" s="59">
        <f t="shared" si="17"/>
        <v>325.70433484786309</v>
      </c>
      <c r="DT17" s="59">
        <f ca="1">AVERAGE(OFFSET($DS$3,0,0,'Données projet'!$E$14+1,1))-AVERAGE(OFFSET($H$3,0,0,'Données projet'!$E$14+1,1))</f>
        <v>308.80022073574963</v>
      </c>
      <c r="DU17" s="59">
        <f t="shared" si="44"/>
        <v>183.96267407004115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2.4666666666666668</v>
      </c>
      <c r="EJ17" s="12">
        <f>IF('Données projet'!$A$192&gt;35,EJ16+EI17-ER16,IF(A17&lt;'Données projet'!$A$192,$EG$205^A17,IF(A17='Données projet'!$A$192,'Données projet'!$B$192,EJ16+EI17-ER16)))</f>
        <v>29.084054009429774</v>
      </c>
      <c r="EK17" s="17">
        <f>EJ17*VLOOKUP('Données projet'!$B$15,Paramètres!$A$1:$I$89,3,0)*VLOOKUP('Données projet'!$B$15,Paramètres!$A$1:$I$89,5,0)</f>
        <v>19.055872186978391</v>
      </c>
      <c r="EL17" s="13">
        <f t="shared" si="45"/>
        <v>6.231398711093604</v>
      </c>
      <c r="EM17" s="20">
        <f t="shared" si="19"/>
        <v>44.041996814142045</v>
      </c>
      <c r="EN17" s="59">
        <f t="shared" si="20"/>
        <v>337.37533014747538</v>
      </c>
      <c r="EO17" s="59">
        <f ca="1">AVERAGE(OFFSET($EN$3,0,0,'Données projet'!$E$15+1,1))-AVERAGE(OFFSET($H$3,0,0,'Données projet'!$E$15+1,1))</f>
        <v>178.71569711875242</v>
      </c>
      <c r="EP17" s="59">
        <f t="shared" si="46"/>
        <v>178.13848582064168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2.1</v>
      </c>
      <c r="FE17" s="12">
        <f>IF('Données projet'!$A$218&gt;35,FE16+FD17-FM16,IF(A17&lt;'Données projet'!$A$218,$FB$205^A17,IF(A17='Données projet'!$A$218,'Données projet'!$B$218,FE16+FD17-FM16)))</f>
        <v>13.685935953338433</v>
      </c>
      <c r="FF17" s="17">
        <f>FE17*VLOOKUP('Données projet'!$B$16,Paramètres!$A$1:$I$89,3,0)*VLOOKUP('Données projet'!$B$16,Paramètres!$A$1:$I$89,5,0)</f>
        <v>11.529032447092296</v>
      </c>
      <c r="FG17" s="13">
        <f t="shared" si="47"/>
        <v>3.9971664842854926</v>
      </c>
      <c r="FH17" s="20">
        <f t="shared" si="22"/>
        <v>27.041463138816312</v>
      </c>
      <c r="FI17" s="59">
        <f t="shared" si="23"/>
        <v>320.37479647214963</v>
      </c>
      <c r="FJ17" s="59">
        <f ca="1">AVERAGE(OFFSET($FI$3,0,0,'Données projet'!$E$16+1,1))-AVERAGE(OFFSET($H$3,0,0,'Données projet'!$E$16+1,1))</f>
        <v>247.22536892257716</v>
      </c>
      <c r="FK17" s="59">
        <f t="shared" si="48"/>
        <v>147.97952262756075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6">
        <f t="shared" si="1"/>
        <v>310.50048479403728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87</v>
      </c>
      <c r="L18" s="12">
        <f>VLOOKUP(A18,'Données projet'!$A$35:$I$55,9,0)</f>
        <v>5.8</v>
      </c>
      <c r="M18" s="12">
        <f t="array" ref="M18">INDEX(L:L,MIN(IF(ISNUMBER(L18:L214),ROW(L18:L214),"")))</f>
        <v>5.8</v>
      </c>
      <c r="N18" s="13">
        <f>IF('Données projet'!$A$36&gt;35,N17+M18-V17,IF(A18&lt;'Données projet'!$A$36,$K$205^A18,IF(A18='Données projet'!$A$36,'Données projet'!$B$36,N17+M18-V17)))</f>
        <v>87</v>
      </c>
      <c r="O18" s="13">
        <f>N18*VLOOKUP('Données projet'!$B$9,Paramètres!$A$1:$I$89,3,0)*VLOOKUP('Données projet'!$B$9,Paramètres!$A$1:$I$89,5,0)</f>
        <v>76.003200000000007</v>
      </c>
      <c r="P18" s="13">
        <f t="shared" si="33"/>
        <v>21.157049992000456</v>
      </c>
      <c r="Q18" s="20">
        <f t="shared" si="2"/>
        <v>169.22076873606747</v>
      </c>
      <c r="R18" s="59">
        <f t="shared" si="0"/>
        <v>462.55410206940076</v>
      </c>
      <c r="S18" s="59">
        <f ca="1">AVERAGE(OFFSET($R$3,0,0,'Données projet'!$E$9+1,1))-AVERAGE(OFFSET($H$3,0,0,'Données projet'!$E$9+1,1))</f>
        <v>253.73326067725128</v>
      </c>
      <c r="T18" s="59">
        <f t="shared" si="34"/>
        <v>317.76427047458026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21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28</v>
      </c>
      <c r="AG18" s="12">
        <f>VLOOKUP(A18,'Données projet'!$A$61:$I$81,9,0)</f>
        <v>1.8666666666666667</v>
      </c>
      <c r="AH18" s="12">
        <f t="array" ref="AH18">INDEX(AG:AG,MIN(IF(ISNUMBER(AG18:AG214),ROW(AG18:AG214),"")))</f>
        <v>1.8666666666666667</v>
      </c>
      <c r="AI18" s="13">
        <f>IF('Données projet'!$A$62&gt;35,AI17+AH18-AQ17,IF(A18&lt;'Données projet'!$A$62,$AF$205^A18,IF(A18='Données projet'!$A$62,'Données projet'!$B$62,AI17+AH18-AQ17)))</f>
        <v>28</v>
      </c>
      <c r="AJ18" s="13">
        <f>AI18*VLOOKUP('Données projet'!$B$10,Paramètres!$A$1:$I$89,3,0)*VLOOKUP('Données projet'!$B$10,Paramètres!$A$1:$I$89,5,0)</f>
        <v>13.468</v>
      </c>
      <c r="AK18" s="13">
        <f t="shared" si="35"/>
        <v>4.5856857602159096</v>
      </c>
      <c r="AL18" s="20">
        <f t="shared" si="4"/>
        <v>31.443502699042707</v>
      </c>
      <c r="AM18" s="59">
        <f t="shared" si="5"/>
        <v>324.77683603237602</v>
      </c>
      <c r="AN18" s="59">
        <f ca="1">AVERAGE(OFFSET($AM$3,0,0,'Données projet'!$E$10+1,1))-AVERAGE(OFFSET($H$3,0,0,'Données projet'!$E$10+1,1))</f>
        <v>349.65790906807746</v>
      </c>
      <c r="AO18" s="59">
        <f t="shared" si="36"/>
        <v>291.88925884278888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65</v>
      </c>
      <c r="BB18" s="12">
        <f>VLOOKUP(A18,'Données projet'!$A$87:$I$107,9,0)</f>
        <v>10.8</v>
      </c>
      <c r="BC18" s="12">
        <f t="array" ref="BC18">INDEX(BB:BB,MIN(IF(ISNUMBER(BB18:BB214),ROW(BB18:BB214),"")))</f>
        <v>10.8</v>
      </c>
      <c r="BD18" s="12">
        <f>IF('Données projet'!$A$88&gt;35,BD17+BC18-BL17,IF(A18&lt;'Données projet'!$A$88,$BA$205^A18,IF(A18='Données projet'!$A$88,'Données projet'!$B$88,BD17+BC18-BL17)))</f>
        <v>65</v>
      </c>
      <c r="BE18" s="13">
        <f>BD18*VLOOKUP('Données projet'!$B$11,Paramètres!$A$1:$I$89,3,0)*VLOOKUP('Données projet'!$B$11,Paramètres!$A$1:$I$89,5,0)</f>
        <v>51.713999999999999</v>
      </c>
      <c r="BF18" s="13">
        <f t="shared" si="37"/>
        <v>15.055535578337075</v>
      </c>
      <c r="BG18" s="20">
        <f t="shared" si="7"/>
        <v>116.29027446560372</v>
      </c>
      <c r="BH18" s="59">
        <f t="shared" si="8"/>
        <v>409.62360779893703</v>
      </c>
      <c r="BI18" s="59">
        <f ca="1">AVERAGE(OFFSET($BH$3,0,0,'Données projet'!$E$11+1,1))-AVERAGE(OFFSET($H$3,0,0,'Données projet'!$E$11+1,1))</f>
        <v>279.49721661620544</v>
      </c>
      <c r="BJ18" s="59">
        <f t="shared" si="38"/>
        <v>275.18739333988754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32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37</v>
      </c>
      <c r="BW18" s="12">
        <f>VLOOKUP(A18,'Données projet'!$A$113:$I$133,9,0)</f>
        <v>2.4666666666666668</v>
      </c>
      <c r="BX18" s="12">
        <f t="array" ref="BX18">INDEX(BW:BW,MIN(IF(ISNUMBER(BW18:BW214),ROW(BW18:BW214),"")))</f>
        <v>2.4666666666666668</v>
      </c>
      <c r="BY18" s="12">
        <f>IF('Données projet'!$A$114&gt;35,BY17+BX18-CG17,IF(A18&lt;'Données projet'!$A$114,$BV$205^A18,IF(A18='Données projet'!$A$114,'Données projet'!$B$114,BY17+BX18-CG17)))</f>
        <v>37</v>
      </c>
      <c r="BZ18" s="13">
        <f>BY18*VLOOKUP('Données projet'!$B$12,Paramètres!$A$1:$I$89,3,0)*VLOOKUP('Données projet'!$B$12,Paramètres!$A$1:$I$89,5,0)</f>
        <v>35.7864</v>
      </c>
      <c r="CA18" s="13">
        <f t="shared" si="39"/>
        <v>10.874700382555321</v>
      </c>
      <c r="CB18" s="20">
        <f t="shared" si="10"/>
        <v>81.26808316628383</v>
      </c>
      <c r="CC18" s="59">
        <f t="shared" si="11"/>
        <v>374.60141649961713</v>
      </c>
      <c r="CD18" s="59">
        <f ca="1">AVERAGE(OFFSET($CC$3,0,0,'Données projet'!$E$12+1,1))-AVERAGE(OFFSET($H$3,0,0,'Données projet'!$E$12+1,1))</f>
        <v>281.84871057356037</v>
      </c>
      <c r="CE18" s="59">
        <f t="shared" si="40"/>
        <v>276.02211904126887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15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>
        <f>VLOOKUP(A18,'Données projet'!$A$139:$I$159,2,0)</f>
        <v>65</v>
      </c>
      <c r="CR18" s="12">
        <f>VLOOKUP(A18,'Données projet'!$A$139:$I$159,9,0)</f>
        <v>10.8</v>
      </c>
      <c r="CS18" s="12">
        <f t="array" ref="CS18">INDEX(CR:CR,MIN(IF(ISNUMBER(CR18:CR214),ROW(CR18:CR214),"")))</f>
        <v>10.8</v>
      </c>
      <c r="CT18" s="12">
        <f>IF('Données projet'!$A$140&gt;35,CT17+CS18-DB17,IF(A18&lt;'Données projet'!$A$140,$CQ$205^A18,IF(A18='Données projet'!$A$140,'Données projet'!$B$140,CT17+CS18-DB17)))</f>
        <v>65</v>
      </c>
      <c r="CU18" s="17">
        <f>CT18*VLOOKUP('Données projet'!$B$13,Paramètres!$A$1:$I$89,3,0)*VLOOKUP('Données projet'!$B$13,Paramètres!$A$1:$I$89,5,0)</f>
        <v>51.713999999999999</v>
      </c>
      <c r="CV18" s="13">
        <f t="shared" si="41"/>
        <v>15.055535578337075</v>
      </c>
      <c r="CW18" s="20">
        <f t="shared" si="13"/>
        <v>116.29027446560372</v>
      </c>
      <c r="CX18" s="59">
        <f t="shared" si="14"/>
        <v>409.62360779893703</v>
      </c>
      <c r="CY18" s="59">
        <f ca="1">AVERAGE(OFFSET($CX$3,0,0,'Données projet'!$E$13+1,1))-AVERAGE(OFFSET($H$3,0,0,'Données projet'!$E$13+1,1))</f>
        <v>279.49721661620544</v>
      </c>
      <c r="CZ18" s="59">
        <f t="shared" si="42"/>
        <v>275.18739333988754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32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2.1</v>
      </c>
      <c r="DO18" s="12">
        <f>IF('Données projet'!$A$166&gt;35,DO17+DN18-DW17,IF(A18&lt;'Données projet'!$A$166,$DL$205^A18,IF(A18='Données projet'!$A$166,'Données projet'!$B$166,DO17+DN18-DW17)))</f>
        <v>16.498215337821566</v>
      </c>
      <c r="DP18" s="17">
        <f>DO18*VLOOKUP('Données projet'!$B$14,Paramètres!$A$1:$I$89,3,0)*VLOOKUP('Données projet'!$B$14,Paramètres!$A$1:$I$89,5,0)</f>
        <v>16.729190352551068</v>
      </c>
      <c r="DQ18" s="13">
        <f t="shared" si="43"/>
        <v>5.5541103821765283</v>
      </c>
      <c r="DR18" s="20">
        <f t="shared" si="16"/>
        <v>38.810082112983899</v>
      </c>
      <c r="DS18" s="59">
        <f t="shared" si="17"/>
        <v>332.14341544631719</v>
      </c>
      <c r="DT18" s="59">
        <f ca="1">AVERAGE(OFFSET($DS$3,0,0,'Données projet'!$E$14+1,1))-AVERAGE(OFFSET($H$3,0,0,'Données projet'!$E$14+1,1))</f>
        <v>308.80022073574963</v>
      </c>
      <c r="DU18" s="59">
        <f t="shared" si="44"/>
        <v>183.96267407004115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>
        <f>VLOOKUP(A18,'Données projet'!$A$191:$I$211,2,0)</f>
        <v>37</v>
      </c>
      <c r="EH18" s="12">
        <f>VLOOKUP(A18,'Données projet'!$A$191:$I$211,9,0)</f>
        <v>2.4666666666666668</v>
      </c>
      <c r="EI18" s="12">
        <f t="array" ref="EI18">INDEX(EH:EH,MIN(IF(ISNUMBER(EH18:EH214),ROW(EH18:EH214),"")))</f>
        <v>2.4666666666666668</v>
      </c>
      <c r="EJ18" s="12">
        <f>IF('Données projet'!$A$192&gt;35,EJ17+EI18-ER17,IF(A18&lt;'Données projet'!$A$192,$EG$205^A18,IF(A18='Données projet'!$A$192,'Données projet'!$B$192,EJ17+EI18-ER17)))</f>
        <v>37</v>
      </c>
      <c r="EK18" s="17">
        <f>EJ18*VLOOKUP('Données projet'!$B$15,Paramètres!$A$1:$I$89,3,0)*VLOOKUP('Données projet'!$B$15,Paramètres!$A$1:$I$89,5,0)</f>
        <v>24.2424</v>
      </c>
      <c r="EL18" s="13">
        <f t="shared" si="45"/>
        <v>7.7083792976822032</v>
      </c>
      <c r="EM18" s="20">
        <f t="shared" si="19"/>
        <v>55.647607276796499</v>
      </c>
      <c r="EN18" s="59">
        <f t="shared" si="20"/>
        <v>348.98094061012984</v>
      </c>
      <c r="EO18" s="59">
        <f ca="1">AVERAGE(OFFSET($EN$3,0,0,'Données projet'!$E$15+1,1))-AVERAGE(OFFSET($H$3,0,0,'Données projet'!$E$15+1,1))</f>
        <v>178.71569711875242</v>
      </c>
      <c r="EP18" s="59">
        <f t="shared" si="46"/>
        <v>178.13848582064168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15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2.1</v>
      </c>
      <c r="FE18" s="12">
        <f>IF('Données projet'!$A$218&gt;35,FE17+FD18-FM17,IF(A18&lt;'Données projet'!$A$218,$FB$205^A18,IF(A18='Données projet'!$A$218,'Données projet'!$B$218,FE17+FD18-FM17)))</f>
        <v>16.498215337821566</v>
      </c>
      <c r="FF18" s="17">
        <f>FE18*VLOOKUP('Données projet'!$B$16,Paramètres!$A$1:$I$89,3,0)*VLOOKUP('Données projet'!$B$16,Paramètres!$A$1:$I$89,5,0)</f>
        <v>13.898096600580887</v>
      </c>
      <c r="FG18" s="13">
        <f t="shared" si="47"/>
        <v>4.7148446849071632</v>
      </c>
      <c r="FH18" s="20">
        <f t="shared" si="22"/>
        <v>32.417539405558351</v>
      </c>
      <c r="FI18" s="59">
        <f t="shared" si="23"/>
        <v>325.75087273889164</v>
      </c>
      <c r="FJ18" s="59">
        <f ca="1">AVERAGE(OFFSET($FI$3,0,0,'Données projet'!$E$16+1,1))-AVERAGE(OFFSET($H$3,0,0,'Données projet'!$E$16+1,1))</f>
        <v>247.22536892257716</v>
      </c>
      <c r="FK18" s="59">
        <f t="shared" si="48"/>
        <v>147.97952262756075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6">
        <f t="shared" si="1"/>
        <v>311.60823119732669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14.2</v>
      </c>
      <c r="N19" s="13">
        <f>IF('Données projet'!$A$36&gt;35,N18+M19-V18,IF(A19&lt;'Données projet'!$A$36,$K$205^A19,IF(A19='Données projet'!$A$36,'Données projet'!$B$36,N18+M19-V18)))</f>
        <v>80.2</v>
      </c>
      <c r="O19" s="13">
        <f>N19*VLOOKUP('Données projet'!$B$9,Paramètres!$A$1:$I$89,3,0)*VLOOKUP('Données projet'!$B$9,Paramètres!$A$1:$I$89,5,0)</f>
        <v>70.062720000000013</v>
      </c>
      <c r="P19" s="13">
        <f t="shared" si="33"/>
        <v>19.689032345957123</v>
      </c>
      <c r="Q19" s="20">
        <f t="shared" si="2"/>
        <v>156.31763533587534</v>
      </c>
      <c r="R19" s="59">
        <f t="shared" si="0"/>
        <v>449.65096866920862</v>
      </c>
      <c r="S19" s="59">
        <f ca="1">AVERAGE(OFFSET($R$3,0,0,'Données projet'!$E$9+1,1))-AVERAGE(OFFSET($H$3,0,0,'Données projet'!$E$9+1,1))</f>
        <v>253.73326067725128</v>
      </c>
      <c r="T19" s="59">
        <f t="shared" si="34"/>
        <v>317.76427047458026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20</v>
      </c>
      <c r="AI19" s="13">
        <f>IF('Données projet'!$A$62&gt;35,AI18+AH19-AQ18,IF(A19&lt;'Données projet'!$A$62,$AF$205^A19,IF(A19='Données projet'!$A$62,'Données projet'!$B$62,AI18+AH19-AQ18)))</f>
        <v>48</v>
      </c>
      <c r="AJ19" s="13">
        <f>AI19*VLOOKUP('Données projet'!$B$10,Paramètres!$A$1:$I$89,3,0)*VLOOKUP('Données projet'!$B$10,Paramètres!$A$1:$I$89,5,0)</f>
        <v>23.087999999999997</v>
      </c>
      <c r="AK19" s="13">
        <f t="shared" si="35"/>
        <v>7.3831248366439288</v>
      </c>
      <c r="AL19" s="20">
        <f t="shared" si="4"/>
        <v>53.070542423821507</v>
      </c>
      <c r="AM19" s="59">
        <f t="shared" si="5"/>
        <v>346.40387575715482</v>
      </c>
      <c r="AN19" s="59">
        <f ca="1">AVERAGE(OFFSET($AM$3,0,0,'Données projet'!$E$10+1,1))-AVERAGE(OFFSET($H$3,0,0,'Données projet'!$E$10+1,1))</f>
        <v>349.65790906807746</v>
      </c>
      <c r="AO19" s="59">
        <f t="shared" si="36"/>
        <v>291.88925884278888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13.8</v>
      </c>
      <c r="BD19" s="12">
        <f>IF('Données projet'!$A$88&gt;35,BD18+BC19-BL18,IF(A19&lt;'Données projet'!$A$88,$BA$205^A19,IF(A19='Données projet'!$A$88,'Données projet'!$B$88,BD18+BC19-BL18)))</f>
        <v>46.8</v>
      </c>
      <c r="BE19" s="13">
        <f>BD19*VLOOKUP('Données projet'!$B$11,Paramètres!$A$1:$I$89,3,0)*VLOOKUP('Données projet'!$B$11,Paramètres!$A$1:$I$89,5,0)</f>
        <v>37.234079999999999</v>
      </c>
      <c r="BF19" s="13">
        <f t="shared" si="37"/>
        <v>11.262510356679771</v>
      </c>
      <c r="BG19" s="20">
        <f t="shared" si="7"/>
        <v>84.464894871217254</v>
      </c>
      <c r="BH19" s="59">
        <f t="shared" si="8"/>
        <v>377.79822820455058</v>
      </c>
      <c r="BI19" s="59">
        <f ca="1">AVERAGE(OFFSET($BH$3,0,0,'Données projet'!$E$11+1,1))-AVERAGE(OFFSET($H$3,0,0,'Données projet'!$E$11+1,1))</f>
        <v>279.49721661620544</v>
      </c>
      <c r="BJ19" s="59">
        <f t="shared" si="38"/>
        <v>275.18739333988754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11.6</v>
      </c>
      <c r="BY19" s="12">
        <f>IF('Données projet'!$A$114&gt;35,BY18+BX19-CG18,IF(A19&lt;'Données projet'!$A$114,$BV$205^A19,IF(A19='Données projet'!$A$114,'Données projet'!$B$114,BY18+BX19-CG18)))</f>
        <v>33.6</v>
      </c>
      <c r="BZ19" s="13">
        <f>BY19*VLOOKUP('Données projet'!$B$12,Paramètres!$A$1:$I$89,3,0)*VLOOKUP('Données projet'!$B$12,Paramètres!$A$1:$I$89,5,0)</f>
        <v>32.497920000000001</v>
      </c>
      <c r="CA19" s="13">
        <f t="shared" si="39"/>
        <v>9.9868296578509597</v>
      </c>
      <c r="CB19" s="20">
        <f t="shared" si="10"/>
        <v>73.994272320757076</v>
      </c>
      <c r="CC19" s="59">
        <f t="shared" si="11"/>
        <v>367.32760565409041</v>
      </c>
      <c r="CD19" s="59">
        <f ca="1">AVERAGE(OFFSET($CC$3,0,0,'Données projet'!$E$12+1,1))-AVERAGE(OFFSET($H$3,0,0,'Données projet'!$E$12+1,1))</f>
        <v>281.84871057356037</v>
      </c>
      <c r="CE19" s="59">
        <f t="shared" si="40"/>
        <v>276.02211904126887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13.8</v>
      </c>
      <c r="CT19" s="12">
        <f>IF('Données projet'!$A$140&gt;35,CT18+CS19-DB18,IF(A19&lt;'Données projet'!$A$140,$CQ$205^A19,IF(A19='Données projet'!$A$140,'Données projet'!$B$140,CT18+CS19-DB18)))</f>
        <v>46.8</v>
      </c>
      <c r="CU19" s="17">
        <f>CT19*VLOOKUP('Données projet'!$B$13,Paramètres!$A$1:$I$89,3,0)*VLOOKUP('Données projet'!$B$13,Paramètres!$A$1:$I$89,5,0)</f>
        <v>37.234079999999999</v>
      </c>
      <c r="CV19" s="13">
        <f t="shared" si="41"/>
        <v>11.262510356679771</v>
      </c>
      <c r="CW19" s="20">
        <f t="shared" si="13"/>
        <v>84.464894871217254</v>
      </c>
      <c r="CX19" s="59">
        <f t="shared" si="14"/>
        <v>377.79822820455058</v>
      </c>
      <c r="CY19" s="59">
        <f ca="1">AVERAGE(OFFSET($CX$3,0,0,'Données projet'!$E$13+1,1))-AVERAGE(OFFSET($H$3,0,0,'Données projet'!$E$13+1,1))</f>
        <v>279.49721661620544</v>
      </c>
      <c r="CZ19" s="59">
        <f t="shared" si="42"/>
        <v>275.18739333988754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2.1</v>
      </c>
      <c r="DO19" s="12">
        <f>IF('Données projet'!$A$166&gt;35,DO18+DN19-DW18,IF(A19&lt;'Données projet'!$A$166,$DL$205^A19,IF(A19='Données projet'!$A$166,'Données projet'!$B$166,DO18+DN19-DW18)))</f>
        <v>19.888381054913147</v>
      </c>
      <c r="DP19" s="17">
        <f>DO19*VLOOKUP('Données projet'!$B$14,Paramètres!$A$1:$I$89,3,0)*VLOOKUP('Données projet'!$B$14,Paramètres!$A$1:$I$89,5,0)</f>
        <v>20.166818389681932</v>
      </c>
      <c r="DQ19" s="13">
        <f t="shared" si="43"/>
        <v>6.5513327797938032</v>
      </c>
      <c r="DR19" s="20">
        <f t="shared" si="16"/>
        <v>46.534113286836906</v>
      </c>
      <c r="DS19" s="59">
        <f t="shared" si="17"/>
        <v>339.8674466201702</v>
      </c>
      <c r="DT19" s="59">
        <f ca="1">AVERAGE(OFFSET($DS$3,0,0,'Données projet'!$E$14+1,1))-AVERAGE(OFFSET($H$3,0,0,'Données projet'!$E$14+1,1))</f>
        <v>308.80022073574963</v>
      </c>
      <c r="DU19" s="59">
        <f t="shared" si="44"/>
        <v>183.96267407004115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11.6</v>
      </c>
      <c r="EJ19" s="12">
        <f>IF('Données projet'!$A$192&gt;35,EJ18+EI19-ER18,IF(A19&lt;'Données projet'!$A$192,$EG$205^A19,IF(A19='Données projet'!$A$192,'Données projet'!$B$192,EJ18+EI19-ER18)))</f>
        <v>33.6</v>
      </c>
      <c r="EK19" s="17">
        <f>EJ19*VLOOKUP('Données projet'!$B$15,Paramètres!$A$1:$I$89,3,0)*VLOOKUP('Données projet'!$B$15,Paramètres!$A$1:$I$89,5,0)</f>
        <v>22.014720000000001</v>
      </c>
      <c r="EL19" s="13">
        <f t="shared" si="45"/>
        <v>7.0790245501888318</v>
      </c>
      <c r="EM19" s="20">
        <f t="shared" si="19"/>
        <v>50.671605091578876</v>
      </c>
      <c r="EN19" s="59">
        <f t="shared" si="20"/>
        <v>344.00493842491221</v>
      </c>
      <c r="EO19" s="59">
        <f ca="1">AVERAGE(OFFSET($EN$3,0,0,'Données projet'!$E$15+1,1))-AVERAGE(OFFSET($H$3,0,0,'Données projet'!$E$15+1,1))</f>
        <v>178.71569711875242</v>
      </c>
      <c r="EP19" s="59">
        <f t="shared" si="46"/>
        <v>178.13848582064168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2.1</v>
      </c>
      <c r="FE19" s="12">
        <f>IF('Données projet'!$A$218&gt;35,FE18+FD19-FM18,IF(A19&lt;'Données projet'!$A$218,$FB$205^A19,IF(A19='Données projet'!$A$218,'Données projet'!$B$218,FE18+FD19-FM18)))</f>
        <v>19.888381054913147</v>
      </c>
      <c r="FF19" s="17">
        <f>FE19*VLOOKUP('Données projet'!$B$16,Paramètres!$A$1:$I$89,3,0)*VLOOKUP('Données projet'!$B$16,Paramètres!$A$1:$I$89,5,0)</f>
        <v>16.753972200658836</v>
      </c>
      <c r="FG19" s="13">
        <f t="shared" si="47"/>
        <v>5.5613796648680189</v>
      </c>
      <c r="FH19" s="20">
        <f t="shared" si="22"/>
        <v>38.865904499125939</v>
      </c>
      <c r="FI19" s="59">
        <f t="shared" si="23"/>
        <v>332.19923783245923</v>
      </c>
      <c r="FJ19" s="59">
        <f ca="1">AVERAGE(OFFSET($FI$3,0,0,'Données projet'!$E$16+1,1))-AVERAGE(OFFSET($H$3,0,0,'Données projet'!$E$16+1,1))</f>
        <v>247.22536892257716</v>
      </c>
      <c r="FK19" s="59">
        <f t="shared" si="48"/>
        <v>147.97952262756075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6">
        <f t="shared" si="1"/>
        <v>312.7140190982978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14.2</v>
      </c>
      <c r="N20" s="13">
        <f>IF('Données projet'!$A$36&gt;35,N19+M20-V19,IF(A20&lt;'Données projet'!$A$36,$K$205^A20,IF(A20='Données projet'!$A$36,'Données projet'!$B$36,N19+M20-V19)))</f>
        <v>94.4</v>
      </c>
      <c r="O20" s="13">
        <f>N20*VLOOKUP('Données projet'!$B$9,Paramètres!$A$1:$I$89,3,0)*VLOOKUP('Données projet'!$B$9,Paramètres!$A$1:$I$89,5,0)</f>
        <v>82.467840000000024</v>
      </c>
      <c r="P20" s="13">
        <f t="shared" si="33"/>
        <v>22.739512759227473</v>
      </c>
      <c r="Q20" s="20">
        <f t="shared" si="2"/>
        <v>183.23613938898788</v>
      </c>
      <c r="R20" s="59">
        <f t="shared" si="0"/>
        <v>476.56947272232117</v>
      </c>
      <c r="S20" s="59">
        <f ca="1">AVERAGE(OFFSET($R$3,0,0,'Données projet'!$E$9+1,1))-AVERAGE(OFFSET($H$3,0,0,'Données projet'!$E$9+1,1))</f>
        <v>253.73326067725128</v>
      </c>
      <c r="T20" s="59">
        <f t="shared" si="34"/>
        <v>317.76427047458026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20</v>
      </c>
      <c r="AI20" s="13">
        <f>IF('Données projet'!$A$62&gt;35,AI19+AH20-AQ19,IF(A20&lt;'Données projet'!$A$62,$AF$205^A20,IF(A20='Données projet'!$A$62,'Données projet'!$B$62,AI19+AH20-AQ19)))</f>
        <v>68</v>
      </c>
      <c r="AJ20" s="13">
        <f>AI20*VLOOKUP('Données projet'!$B$10,Paramètres!$A$1:$I$89,3,0)*VLOOKUP('Données projet'!$B$10,Paramètres!$A$1:$I$89,5,0)</f>
        <v>32.707999999999998</v>
      </c>
      <c r="AK20" s="13">
        <f t="shared" si="35"/>
        <v>10.04385257881656</v>
      </c>
      <c r="AL20" s="20">
        <f t="shared" si="4"/>
        <v>74.459476574772168</v>
      </c>
      <c r="AM20" s="59">
        <f t="shared" si="5"/>
        <v>367.79280990810548</v>
      </c>
      <c r="AN20" s="59">
        <f ca="1">AVERAGE(OFFSET($AM$3,0,0,'Données projet'!$E$10+1,1))-AVERAGE(OFFSET($H$3,0,0,'Données projet'!$E$10+1,1))</f>
        <v>349.65790906807746</v>
      </c>
      <c r="AO20" s="59">
        <f t="shared" si="36"/>
        <v>291.88925884278888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13.8</v>
      </c>
      <c r="BD20" s="12">
        <f>IF('Données projet'!$A$88&gt;35,BD19+BC20-BL19,IF(A20&lt;'Données projet'!$A$88,$BA$205^A20,IF(A20='Données projet'!$A$88,'Données projet'!$B$88,BD19+BC20-BL19)))</f>
        <v>60.599999999999994</v>
      </c>
      <c r="BE20" s="13">
        <f>BD20*VLOOKUP('Données projet'!$B$11,Paramètres!$A$1:$I$89,3,0)*VLOOKUP('Données projet'!$B$11,Paramètres!$A$1:$I$89,5,0)</f>
        <v>48.213360000000002</v>
      </c>
      <c r="BF20" s="13">
        <f t="shared" si="37"/>
        <v>14.151379520104694</v>
      </c>
      <c r="BG20" s="20">
        <f t="shared" si="7"/>
        <v>108.61858799751566</v>
      </c>
      <c r="BH20" s="59">
        <f t="shared" si="8"/>
        <v>401.95192133084896</v>
      </c>
      <c r="BI20" s="59">
        <f ca="1">AVERAGE(OFFSET($BH$3,0,0,'Données projet'!$E$11+1,1))-AVERAGE(OFFSET($H$3,0,0,'Données projet'!$E$11+1,1))</f>
        <v>279.49721661620544</v>
      </c>
      <c r="BJ20" s="59">
        <f t="shared" si="38"/>
        <v>275.18739333988754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11.6</v>
      </c>
      <c r="BY20" s="12">
        <f>IF('Données projet'!$A$114&gt;35,BY19+BX20-CG19,IF(A20&lt;'Données projet'!$A$114,$BV$205^A20,IF(A20='Données projet'!$A$114,'Données projet'!$B$114,BY19+BX20-CG19)))</f>
        <v>45.2</v>
      </c>
      <c r="BZ20" s="13">
        <f>BY20*VLOOKUP('Données projet'!$B$12,Paramètres!$A$1:$I$89,3,0)*VLOOKUP('Données projet'!$B$12,Paramètres!$A$1:$I$89,5,0)</f>
        <v>43.717440000000003</v>
      </c>
      <c r="CA20" s="13">
        <f t="shared" si="39"/>
        <v>12.978801126616625</v>
      </c>
      <c r="CB20" s="20">
        <f t="shared" si="10"/>
        <v>98.745953295523961</v>
      </c>
      <c r="CC20" s="59">
        <f t="shared" si="11"/>
        <v>392.07928662885729</v>
      </c>
      <c r="CD20" s="59">
        <f ca="1">AVERAGE(OFFSET($CC$3,0,0,'Données projet'!$E$12+1,1))-AVERAGE(OFFSET($H$3,0,0,'Données projet'!$E$12+1,1))</f>
        <v>281.84871057356037</v>
      </c>
      <c r="CE20" s="59">
        <f t="shared" si="40"/>
        <v>276.02211904126887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13.8</v>
      </c>
      <c r="CT20" s="12">
        <f>IF('Données projet'!$A$140&gt;35,CT19+CS20-DB19,IF(A20&lt;'Données projet'!$A$140,$CQ$205^A20,IF(A20='Données projet'!$A$140,'Données projet'!$B$140,CT19+CS20-DB19)))</f>
        <v>60.599999999999994</v>
      </c>
      <c r="CU20" s="17">
        <f>CT20*VLOOKUP('Données projet'!$B$13,Paramètres!$A$1:$I$89,3,0)*VLOOKUP('Données projet'!$B$13,Paramètres!$A$1:$I$89,5,0)</f>
        <v>48.213360000000002</v>
      </c>
      <c r="CV20" s="13">
        <f t="shared" si="41"/>
        <v>14.151379520104694</v>
      </c>
      <c r="CW20" s="20">
        <f t="shared" si="13"/>
        <v>108.61858799751566</v>
      </c>
      <c r="CX20" s="59">
        <f t="shared" si="14"/>
        <v>401.95192133084896</v>
      </c>
      <c r="CY20" s="59">
        <f ca="1">AVERAGE(OFFSET($CX$3,0,0,'Données projet'!$E$13+1,1))-AVERAGE(OFFSET($H$3,0,0,'Données projet'!$E$13+1,1))</f>
        <v>279.49721661620544</v>
      </c>
      <c r="CZ20" s="59">
        <f t="shared" si="42"/>
        <v>275.18739333988754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2.1</v>
      </c>
      <c r="DO20" s="12">
        <f>IF('Données projet'!$A$166&gt;35,DO19+DN20-DW19,IF(A20&lt;'Données projet'!$A$166,$DL$205^A20,IF(A20='Données projet'!$A$166,'Données projet'!$B$166,DO19+DN20-DW19)))</f>
        <v>23.975181126327602</v>
      </c>
      <c r="DP20" s="17">
        <f>DO20*VLOOKUP('Données projet'!$B$14,Paramètres!$A$1:$I$89,3,0)*VLOOKUP('Données projet'!$B$14,Paramètres!$A$1:$I$89,5,0)</f>
        <v>24.31083366209619</v>
      </c>
      <c r="DQ20" s="13">
        <f t="shared" si="43"/>
        <v>7.7276032052466093</v>
      </c>
      <c r="DR20" s="20">
        <f t="shared" si="16"/>
        <v>55.800277543955367</v>
      </c>
      <c r="DS20" s="59">
        <f t="shared" si="17"/>
        <v>349.13361087728867</v>
      </c>
      <c r="DT20" s="59">
        <f ca="1">AVERAGE(OFFSET($DS$3,0,0,'Données projet'!$E$14+1,1))-AVERAGE(OFFSET($H$3,0,0,'Données projet'!$E$14+1,1))</f>
        <v>308.80022073574963</v>
      </c>
      <c r="DU20" s="59">
        <f t="shared" si="44"/>
        <v>183.96267407004115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11.6</v>
      </c>
      <c r="EJ20" s="12">
        <f>IF('Données projet'!$A$192&gt;35,EJ19+EI20-ER19,IF(A20&lt;'Données projet'!$A$192,$EG$205^A20,IF(A20='Données projet'!$A$192,'Données projet'!$B$192,EJ19+EI20-ER19)))</f>
        <v>45.2</v>
      </c>
      <c r="EK20" s="17">
        <f>EJ20*VLOOKUP('Données projet'!$B$15,Paramètres!$A$1:$I$89,3,0)*VLOOKUP('Données projet'!$B$15,Paramètres!$A$1:$I$89,5,0)</f>
        <v>29.615040000000004</v>
      </c>
      <c r="EL20" s="13">
        <f t="shared" si="45"/>
        <v>9.1998416870072379</v>
      </c>
      <c r="EM20" s="20">
        <f t="shared" si="19"/>
        <v>67.602585604870953</v>
      </c>
      <c r="EN20" s="59">
        <f t="shared" si="20"/>
        <v>360.93591893820428</v>
      </c>
      <c r="EO20" s="59">
        <f ca="1">AVERAGE(OFFSET($EN$3,0,0,'Données projet'!$E$15+1,1))-AVERAGE(OFFSET($H$3,0,0,'Données projet'!$E$15+1,1))</f>
        <v>178.71569711875242</v>
      </c>
      <c r="EP20" s="59">
        <f t="shared" si="46"/>
        <v>178.13848582064168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2.1</v>
      </c>
      <c r="FE20" s="12">
        <f>IF('Données projet'!$A$218&gt;35,FE19+FD20-FM19,IF(A20&lt;'Données projet'!$A$218,$FB$205^A20,IF(A20='Données projet'!$A$218,'Données projet'!$B$218,FE19+FD20-FM19)))</f>
        <v>23.975181126327602</v>
      </c>
      <c r="FF20" s="17">
        <f>FE20*VLOOKUP('Données projet'!$B$16,Paramètres!$A$1:$I$89,3,0)*VLOOKUP('Données projet'!$B$16,Paramètres!$A$1:$I$89,5,0)</f>
        <v>20.196692580818372</v>
      </c>
      <c r="FG20" s="13">
        <f t="shared" si="47"/>
        <v>6.5599072384749233</v>
      </c>
      <c r="FH20" s="20">
        <f t="shared" si="22"/>
        <v>46.601078018602493</v>
      </c>
      <c r="FI20" s="59">
        <f t="shared" si="23"/>
        <v>339.93441135193581</v>
      </c>
      <c r="FJ20" s="59">
        <f ca="1">AVERAGE(OFFSET($FI$3,0,0,'Données projet'!$E$16+1,1))-AVERAGE(OFFSET($H$3,0,0,'Données projet'!$E$16+1,1))</f>
        <v>247.22536892257716</v>
      </c>
      <c r="FK20" s="59">
        <f t="shared" si="48"/>
        <v>147.97952262756075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6">
        <f t="shared" si="1"/>
        <v>313.81797682591258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14.2</v>
      </c>
      <c r="N21" s="13">
        <f>IF('Données projet'!$A$36&gt;35,N20+M21-V20,IF(A21&lt;'Données projet'!$A$36,$K$205^A21,IF(A21='Données projet'!$A$36,'Données projet'!$B$36,N20+M21-V20)))</f>
        <v>108.60000000000001</v>
      </c>
      <c r="O21" s="13">
        <f>N21*VLOOKUP('Données projet'!$B$9,Paramètres!$A$1:$I$89,3,0)*VLOOKUP('Données projet'!$B$9,Paramètres!$A$1:$I$89,5,0)</f>
        <v>94.87296000000002</v>
      </c>
      <c r="P21" s="13">
        <f t="shared" si="33"/>
        <v>25.736834760472274</v>
      </c>
      <c r="Q21" s="20">
        <f t="shared" si="2"/>
        <v>210.06205920782259</v>
      </c>
      <c r="R21" s="59">
        <f t="shared" si="0"/>
        <v>503.3953925411559</v>
      </c>
      <c r="S21" s="59">
        <f ca="1">AVERAGE(OFFSET($R$3,0,0,'Données projet'!$E$9+1,1))-AVERAGE(OFFSET($H$3,0,0,'Données projet'!$E$9+1,1))</f>
        <v>253.73326067725128</v>
      </c>
      <c r="T21" s="59">
        <f t="shared" si="34"/>
        <v>317.76427047458026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20</v>
      </c>
      <c r="AI21" s="13">
        <f>IF('Données projet'!$A$62&gt;35,AI20+AH21-AQ20,IF(A21&lt;'Données projet'!$A$62,$AF$205^A21,IF(A21='Données projet'!$A$62,'Données projet'!$B$62,AI20+AH21-AQ20)))</f>
        <v>88</v>
      </c>
      <c r="AJ21" s="13">
        <f>AI21*VLOOKUP('Données projet'!$B$10,Paramètres!$A$1:$I$89,3,0)*VLOOKUP('Données projet'!$B$10,Paramètres!$A$1:$I$89,5,0)</f>
        <v>42.328000000000003</v>
      </c>
      <c r="AK21" s="13">
        <f t="shared" si="35"/>
        <v>12.613637433293011</v>
      </c>
      <c r="AL21" s="20">
        <f t="shared" si="4"/>
        <v>95.690018529651979</v>
      </c>
      <c r="AM21" s="59">
        <f t="shared" si="5"/>
        <v>389.02335186298529</v>
      </c>
      <c r="AN21" s="59">
        <f ca="1">AVERAGE(OFFSET($AM$3,0,0,'Données projet'!$E$10+1,1))-AVERAGE(OFFSET($H$3,0,0,'Données projet'!$E$10+1,1))</f>
        <v>349.65790906807746</v>
      </c>
      <c r="AO21" s="59">
        <f t="shared" si="36"/>
        <v>291.88925884278888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13.8</v>
      </c>
      <c r="BD21" s="12">
        <f>IF('Données projet'!$A$88&gt;35,BD20+BC21-BL20,IF(A21&lt;'Données projet'!$A$88,$BA$205^A21,IF(A21='Données projet'!$A$88,'Données projet'!$B$88,BD20+BC21-BL20)))</f>
        <v>74.399999999999991</v>
      </c>
      <c r="BE21" s="13">
        <f>BD21*VLOOKUP('Données projet'!$B$11,Paramètres!$A$1:$I$89,3,0)*VLOOKUP('Données projet'!$B$11,Paramètres!$A$1:$I$89,5,0)</f>
        <v>59.192639999999997</v>
      </c>
      <c r="BF21" s="13">
        <f t="shared" si="37"/>
        <v>16.963982408330725</v>
      </c>
      <c r="BG21" s="20">
        <f t="shared" si="7"/>
        <v>132.63945069450935</v>
      </c>
      <c r="BH21" s="59">
        <f t="shared" si="8"/>
        <v>425.97278402784264</v>
      </c>
      <c r="BI21" s="59">
        <f ca="1">AVERAGE(OFFSET($BH$3,0,0,'Données projet'!$E$11+1,1))-AVERAGE(OFFSET($H$3,0,0,'Données projet'!$E$11+1,1))</f>
        <v>279.49721661620544</v>
      </c>
      <c r="BJ21" s="59">
        <f t="shared" si="38"/>
        <v>275.18739333988754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11.6</v>
      </c>
      <c r="BY21" s="12">
        <f>IF('Données projet'!$A$114&gt;35,BY20+BX21-CG20,IF(A21&lt;'Données projet'!$A$114,$BV$205^A21,IF(A21='Données projet'!$A$114,'Données projet'!$B$114,BY20+BX21-CG20)))</f>
        <v>56.800000000000004</v>
      </c>
      <c r="BZ21" s="13">
        <f>BY21*VLOOKUP('Données projet'!$B$12,Paramètres!$A$1:$I$89,3,0)*VLOOKUP('Données projet'!$B$12,Paramètres!$A$1:$I$89,5,0)</f>
        <v>54.936960000000006</v>
      </c>
      <c r="CA21" s="13">
        <f t="shared" si="39"/>
        <v>15.88168018568401</v>
      </c>
      <c r="CB21" s="20">
        <f t="shared" si="10"/>
        <v>123.34246499006633</v>
      </c>
      <c r="CC21" s="59">
        <f t="shared" si="11"/>
        <v>416.67579832339965</v>
      </c>
      <c r="CD21" s="59">
        <f ca="1">AVERAGE(OFFSET($CC$3,0,0,'Données projet'!$E$12+1,1))-AVERAGE(OFFSET($H$3,0,0,'Données projet'!$E$12+1,1))</f>
        <v>281.84871057356037</v>
      </c>
      <c r="CE21" s="59">
        <f t="shared" si="40"/>
        <v>276.02211904126887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13.8</v>
      </c>
      <c r="CT21" s="12">
        <f>IF('Données projet'!$A$140&gt;35,CT20+CS21-DB20,IF(A21&lt;'Données projet'!$A$140,$CQ$205^A21,IF(A21='Données projet'!$A$140,'Données projet'!$B$140,CT20+CS21-DB20)))</f>
        <v>74.399999999999991</v>
      </c>
      <c r="CU21" s="17">
        <f>CT21*VLOOKUP('Données projet'!$B$13,Paramètres!$A$1:$I$89,3,0)*VLOOKUP('Données projet'!$B$13,Paramètres!$A$1:$I$89,5,0)</f>
        <v>59.192639999999997</v>
      </c>
      <c r="CV21" s="13">
        <f t="shared" si="41"/>
        <v>16.963982408330725</v>
      </c>
      <c r="CW21" s="20">
        <f t="shared" si="13"/>
        <v>132.63945069450935</v>
      </c>
      <c r="CX21" s="59">
        <f t="shared" si="14"/>
        <v>425.97278402784264</v>
      </c>
      <c r="CY21" s="59">
        <f ca="1">AVERAGE(OFFSET($CX$3,0,0,'Données projet'!$E$13+1,1))-AVERAGE(OFFSET($H$3,0,0,'Données projet'!$E$13+1,1))</f>
        <v>279.49721661620544</v>
      </c>
      <c r="CZ21" s="59">
        <f t="shared" si="42"/>
        <v>275.18739333988754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2.1</v>
      </c>
      <c r="DO21" s="12">
        <f>IF('Données projet'!$A$166&gt;35,DO20+DN21-DW20,IF(A21&lt;'Données projet'!$A$166,$DL$205^A21,IF(A21='Données projet'!$A$166,'Données projet'!$B$166,DO20+DN21-DW20)))</f>
        <v>28.901764726506816</v>
      </c>
      <c r="DP21" s="17">
        <f>DO21*VLOOKUP('Données projet'!$B$14,Paramètres!$A$1:$I$89,3,0)*VLOOKUP('Données projet'!$B$14,Paramètres!$A$1:$I$89,5,0)</f>
        <v>29.306389432677911</v>
      </c>
      <c r="DQ21" s="13">
        <f t="shared" si="43"/>
        <v>9.1150691477493808</v>
      </c>
      <c r="DR21" s="20">
        <f t="shared" si="16"/>
        <v>66.917373694244205</v>
      </c>
      <c r="DS21" s="59">
        <f t="shared" si="17"/>
        <v>360.2507070275775</v>
      </c>
      <c r="DT21" s="59">
        <f ca="1">AVERAGE(OFFSET($DS$3,0,0,'Données projet'!$E$14+1,1))-AVERAGE(OFFSET($H$3,0,0,'Données projet'!$E$14+1,1))</f>
        <v>308.80022073574963</v>
      </c>
      <c r="DU21" s="59">
        <f t="shared" si="44"/>
        <v>183.96267407004115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11.6</v>
      </c>
      <c r="EJ21" s="12">
        <f>IF('Données projet'!$A$192&gt;35,EJ20+EI21-ER20,IF(A21&lt;'Données projet'!$A$192,$EG$205^A21,IF(A21='Données projet'!$A$192,'Données projet'!$B$192,EJ20+EI21-ER20)))</f>
        <v>56.800000000000004</v>
      </c>
      <c r="EK21" s="17">
        <f>EJ21*VLOOKUP('Données projet'!$B$15,Paramètres!$A$1:$I$89,3,0)*VLOOKUP('Données projet'!$B$15,Paramètres!$A$1:$I$89,5,0)</f>
        <v>37.215360000000004</v>
      </c>
      <c r="EL21" s="13">
        <f t="shared" si="45"/>
        <v>11.257506915052097</v>
      </c>
      <c r="EM21" s="20">
        <f t="shared" si="19"/>
        <v>84.42357654371574</v>
      </c>
      <c r="EN21" s="59">
        <f t="shared" si="20"/>
        <v>377.75690987704905</v>
      </c>
      <c r="EO21" s="59">
        <f ca="1">AVERAGE(OFFSET($EN$3,0,0,'Données projet'!$E$15+1,1))-AVERAGE(OFFSET($H$3,0,0,'Données projet'!$E$15+1,1))</f>
        <v>178.71569711875242</v>
      </c>
      <c r="EP21" s="59">
        <f t="shared" si="46"/>
        <v>178.13848582064168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2.1</v>
      </c>
      <c r="FE21" s="12">
        <f>IF('Données projet'!$A$218&gt;35,FE20+FD21-FM20,IF(A21&lt;'Données projet'!$A$218,$FB$205^A21,IF(A21='Données projet'!$A$218,'Données projet'!$B$218,FE20+FD21-FM20)))</f>
        <v>28.901764726506816</v>
      </c>
      <c r="FF21" s="17">
        <f>FE21*VLOOKUP('Données projet'!$B$16,Paramètres!$A$1:$I$89,3,0)*VLOOKUP('Données projet'!$B$16,Paramètres!$A$1:$I$89,5,0)</f>
        <v>24.346846605609343</v>
      </c>
      <c r="FG21" s="13">
        <f t="shared" si="47"/>
        <v>7.7377171800078735</v>
      </c>
      <c r="FH21" s="20">
        <f t="shared" si="22"/>
        <v>55.880615259949991</v>
      </c>
      <c r="FI21" s="59">
        <f t="shared" si="23"/>
        <v>349.21394859328331</v>
      </c>
      <c r="FJ21" s="59">
        <f ca="1">AVERAGE(OFFSET($FI$3,0,0,'Données projet'!$E$16+1,1))-AVERAGE(OFFSET($H$3,0,0,'Données projet'!$E$16+1,1))</f>
        <v>247.22536892257716</v>
      </c>
      <c r="FK21" s="59">
        <f t="shared" si="48"/>
        <v>147.97952262756075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6">
        <f t="shared" si="1"/>
        <v>314.92021764503886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14.2</v>
      </c>
      <c r="N22" s="13">
        <f>IF('Données projet'!$A$36&gt;35,N21+M22-V21,IF(A22&lt;'Données projet'!$A$36,$K$205^A22,IF(A22='Données projet'!$A$36,'Données projet'!$B$36,N21+M22-V21)))</f>
        <v>122.80000000000001</v>
      </c>
      <c r="O22" s="13">
        <f>N22*VLOOKUP('Données projet'!$B$9,Paramètres!$A$1:$I$89,3,0)*VLOOKUP('Données projet'!$B$9,Paramètres!$A$1:$I$89,5,0)</f>
        <v>107.27808000000003</v>
      </c>
      <c r="P22" s="13">
        <f t="shared" si="33"/>
        <v>28.688746800886673</v>
      </c>
      <c r="Q22" s="20">
        <f t="shared" si="2"/>
        <v>236.80889001154432</v>
      </c>
      <c r="R22" s="59">
        <f t="shared" si="0"/>
        <v>530.14222334487761</v>
      </c>
      <c r="S22" s="59">
        <f ca="1">AVERAGE(OFFSET($R$3,0,0,'Données projet'!$E$9+1,1))-AVERAGE(OFFSET($H$3,0,0,'Données projet'!$E$9+1,1))</f>
        <v>253.73326067725128</v>
      </c>
      <c r="T22" s="59">
        <f t="shared" si="34"/>
        <v>317.76427047458026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20</v>
      </c>
      <c r="AI22" s="13">
        <f>IF('Données projet'!$A$62&gt;35,AI21+AH22-AQ21,IF(A22&lt;'Données projet'!$A$62,$AF$205^A22,IF(A22='Données projet'!$A$62,'Données projet'!$B$62,AI21+AH22-AQ21)))</f>
        <v>108</v>
      </c>
      <c r="AJ22" s="13">
        <f>AI22*VLOOKUP('Données projet'!$B$10,Paramètres!$A$1:$I$89,3,0)*VLOOKUP('Données projet'!$B$10,Paramètres!$A$1:$I$89,5,0)</f>
        <v>51.948</v>
      </c>
      <c r="AK22" s="13">
        <f t="shared" si="35"/>
        <v>15.115714645211892</v>
      </c>
      <c r="AL22" s="20">
        <f t="shared" si="4"/>
        <v>116.8026363404107</v>
      </c>
      <c r="AM22" s="59">
        <f t="shared" si="5"/>
        <v>410.135969673744</v>
      </c>
      <c r="AN22" s="59">
        <f ca="1">AVERAGE(OFFSET($AM$3,0,0,'Données projet'!$E$10+1,1))-AVERAGE(OFFSET($H$3,0,0,'Données projet'!$E$10+1,1))</f>
        <v>349.65790906807746</v>
      </c>
      <c r="AO22" s="59">
        <f t="shared" si="36"/>
        <v>291.88925884278888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13.8</v>
      </c>
      <c r="BD22" s="12">
        <f>IF('Données projet'!$A$88&gt;35,BD21+BC22-BL21,IF(A22&lt;'Données projet'!$A$88,$BA$205^A22,IF(A22='Données projet'!$A$88,'Données projet'!$B$88,BD21+BC22-BL21)))</f>
        <v>88.199999999999989</v>
      </c>
      <c r="BE22" s="13">
        <f>BD22*VLOOKUP('Données projet'!$B$11,Paramètres!$A$1:$I$89,3,0)*VLOOKUP('Données projet'!$B$11,Paramètres!$A$1:$I$89,5,0)</f>
        <v>70.171919999999986</v>
      </c>
      <c r="BF22" s="13">
        <f t="shared" si="37"/>
        <v>19.716145269554726</v>
      </c>
      <c r="BG22" s="20">
        <f t="shared" si="7"/>
        <v>156.55504701114111</v>
      </c>
      <c r="BH22" s="59">
        <f t="shared" si="8"/>
        <v>449.8883803444744</v>
      </c>
      <c r="BI22" s="59">
        <f ca="1">AVERAGE(OFFSET($BH$3,0,0,'Données projet'!$E$11+1,1))-AVERAGE(OFFSET($H$3,0,0,'Données projet'!$E$11+1,1))</f>
        <v>279.49721661620544</v>
      </c>
      <c r="BJ22" s="59">
        <f t="shared" si="38"/>
        <v>275.18739333988754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11.6</v>
      </c>
      <c r="BY22" s="12">
        <f>IF('Données projet'!$A$114&gt;35,BY21+BX22-CG21,IF(A22&lt;'Données projet'!$A$114,$BV$205^A22,IF(A22='Données projet'!$A$114,'Données projet'!$B$114,BY21+BX22-CG21)))</f>
        <v>68.400000000000006</v>
      </c>
      <c r="BZ22" s="13">
        <f>BY22*VLOOKUP('Données projet'!$B$12,Paramètres!$A$1:$I$89,3,0)*VLOOKUP('Données projet'!$B$12,Paramètres!$A$1:$I$89,5,0)</f>
        <v>66.156480000000002</v>
      </c>
      <c r="CA22" s="13">
        <f t="shared" si="39"/>
        <v>18.71586174150994</v>
      </c>
      <c r="CB22" s="20">
        <f t="shared" si="10"/>
        <v>147.81932853312981</v>
      </c>
      <c r="CC22" s="59">
        <f t="shared" si="11"/>
        <v>441.15266186646312</v>
      </c>
      <c r="CD22" s="59">
        <f ca="1">AVERAGE(OFFSET($CC$3,0,0,'Données projet'!$E$12+1,1))-AVERAGE(OFFSET($H$3,0,0,'Données projet'!$E$12+1,1))</f>
        <v>281.84871057356037</v>
      </c>
      <c r="CE22" s="59">
        <f t="shared" si="40"/>
        <v>276.02211904126887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13.8</v>
      </c>
      <c r="CT22" s="12">
        <f>IF('Données projet'!$A$140&gt;35,CT21+CS22-DB21,IF(A22&lt;'Données projet'!$A$140,$CQ$205^A22,IF(A22='Données projet'!$A$140,'Données projet'!$B$140,CT21+CS22-DB21)))</f>
        <v>88.199999999999989</v>
      </c>
      <c r="CU22" s="17">
        <f>CT22*VLOOKUP('Données projet'!$B$13,Paramètres!$A$1:$I$89,3,0)*VLOOKUP('Données projet'!$B$13,Paramètres!$A$1:$I$89,5,0)</f>
        <v>70.171919999999986</v>
      </c>
      <c r="CV22" s="13">
        <f t="shared" si="41"/>
        <v>19.716145269554726</v>
      </c>
      <c r="CW22" s="20">
        <f t="shared" si="13"/>
        <v>156.55504701114111</v>
      </c>
      <c r="CX22" s="59">
        <f t="shared" si="14"/>
        <v>449.8883803444744</v>
      </c>
      <c r="CY22" s="59">
        <f ca="1">AVERAGE(OFFSET($CX$3,0,0,'Données projet'!$E$13+1,1))-AVERAGE(OFFSET($H$3,0,0,'Données projet'!$E$13+1,1))</f>
        <v>279.49721661620544</v>
      </c>
      <c r="CZ22" s="59">
        <f t="shared" si="42"/>
        <v>275.18739333988754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2.1</v>
      </c>
      <c r="DO22" s="12">
        <f>IF('Données projet'!$A$166&gt;35,DO21+DN22-DW21,IF(A22&lt;'Données projet'!$A$166,$DL$205^A22,IF(A22='Données projet'!$A$166,'Données projet'!$B$166,DO21+DN22-DW21)))</f>
        <v>34.840696297767764</v>
      </c>
      <c r="DP22" s="17">
        <f>DO22*VLOOKUP('Données projet'!$B$14,Paramètres!$A$1:$I$89,3,0)*VLOOKUP('Données projet'!$B$14,Paramètres!$A$1:$I$89,5,0)</f>
        <v>35.328466045936516</v>
      </c>
      <c r="DQ22" s="13">
        <f t="shared" si="43"/>
        <v>10.751650073316766</v>
      </c>
      <c r="DR22" s="20">
        <f t="shared" si="16"/>
        <v>80.256202241032796</v>
      </c>
      <c r="DS22" s="59">
        <f t="shared" si="17"/>
        <v>373.5895355743661</v>
      </c>
      <c r="DT22" s="59">
        <f ca="1">AVERAGE(OFFSET($DS$3,0,0,'Données projet'!$E$14+1,1))-AVERAGE(OFFSET($H$3,0,0,'Données projet'!$E$14+1,1))</f>
        <v>308.80022073574963</v>
      </c>
      <c r="DU22" s="59">
        <f t="shared" si="44"/>
        <v>183.96267407004115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11.6</v>
      </c>
      <c r="EJ22" s="12">
        <f>IF('Données projet'!$A$192&gt;35,EJ21+EI22-ER21,IF(A22&lt;'Données projet'!$A$192,$EG$205^A22,IF(A22='Données projet'!$A$192,'Données projet'!$B$192,EJ21+EI22-ER21)))</f>
        <v>68.400000000000006</v>
      </c>
      <c r="EK22" s="17">
        <f>EJ22*VLOOKUP('Données projet'!$B$15,Paramètres!$A$1:$I$89,3,0)*VLOOKUP('Données projet'!$B$15,Paramètres!$A$1:$I$89,5,0)</f>
        <v>44.81568</v>
      </c>
      <c r="EL22" s="13">
        <f t="shared" si="45"/>
        <v>13.266476878569183</v>
      </c>
      <c r="EM22" s="20">
        <f t="shared" si="19"/>
        <v>101.15975656350798</v>
      </c>
      <c r="EN22" s="59">
        <f t="shared" si="20"/>
        <v>394.4930898968413</v>
      </c>
      <c r="EO22" s="59">
        <f ca="1">AVERAGE(OFFSET($EN$3,0,0,'Données projet'!$E$15+1,1))-AVERAGE(OFFSET($H$3,0,0,'Données projet'!$E$15+1,1))</f>
        <v>178.71569711875242</v>
      </c>
      <c r="EP22" s="59">
        <f t="shared" si="46"/>
        <v>178.13848582064168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2.1</v>
      </c>
      <c r="FE22" s="12">
        <f>IF('Données projet'!$A$218&gt;35,FE21+FD22-FM21,IF(A22&lt;'Données projet'!$A$218,$FB$205^A22,IF(A22='Données projet'!$A$218,'Données projet'!$B$218,FE21+FD22-FM21)))</f>
        <v>34.840696297767764</v>
      </c>
      <c r="FF22" s="17">
        <f>FE22*VLOOKUP('Données projet'!$B$16,Paramètres!$A$1:$I$89,3,0)*VLOOKUP('Données projet'!$B$16,Paramètres!$A$1:$I$89,5,0)</f>
        <v>29.349802561239567</v>
      </c>
      <c r="FG22" s="13">
        <f t="shared" si="47"/>
        <v>9.1269990536799668</v>
      </c>
      <c r="FH22" s="20">
        <f t="shared" si="22"/>
        <v>67.013762812651535</v>
      </c>
      <c r="FI22" s="59">
        <f t="shared" si="23"/>
        <v>360.34709614598484</v>
      </c>
      <c r="FJ22" s="59">
        <f ca="1">AVERAGE(OFFSET($FI$3,0,0,'Données projet'!$E$16+1,1))-AVERAGE(OFFSET($H$3,0,0,'Données projet'!$E$16+1,1))</f>
        <v>247.22536892257716</v>
      </c>
      <c r="FK22" s="59">
        <f t="shared" si="48"/>
        <v>147.97952262756075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6">
        <f t="shared" si="1"/>
        <v>316.02084222454056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137</v>
      </c>
      <c r="L23" s="12">
        <f>VLOOKUP(A23,'Données projet'!$A$35:$I$55,9,0)</f>
        <v>14.2</v>
      </c>
      <c r="M23" s="12">
        <f t="array" ref="M23">INDEX(L:L,MIN(IF(ISNUMBER(L23:L219),ROW(L23:L219),"")))</f>
        <v>14.2</v>
      </c>
      <c r="N23" s="13">
        <f>IF('Données projet'!$A$36&gt;35,N22+M23-V22,IF(A23&lt;'Données projet'!$A$36,$K$205^A23,IF(A23='Données projet'!$A$36,'Données projet'!$B$36,N22+M23-V22)))</f>
        <v>137</v>
      </c>
      <c r="O23" s="13">
        <f>N23*VLOOKUP('Données projet'!$B$9,Paramètres!$A$1:$I$89,3,0)*VLOOKUP('Données projet'!$B$9,Paramètres!$A$1:$I$89,5,0)</f>
        <v>119.68320000000003</v>
      </c>
      <c r="P23" s="13">
        <f t="shared" si="33"/>
        <v>31.601099532596194</v>
      </c>
      <c r="Q23" s="20">
        <f t="shared" si="2"/>
        <v>263.48682168593842</v>
      </c>
      <c r="R23" s="59">
        <f t="shared" si="0"/>
        <v>556.82015501927174</v>
      </c>
      <c r="S23" s="59">
        <f ca="1">AVERAGE(OFFSET($R$3,0,0,'Données projet'!$E$9+1,1))-AVERAGE(OFFSET($H$3,0,0,'Données projet'!$E$9+1,1))</f>
        <v>253.73326067725128</v>
      </c>
      <c r="T23" s="59">
        <f t="shared" si="34"/>
        <v>317.76427047458026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43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128</v>
      </c>
      <c r="AG23" s="12">
        <f>VLOOKUP(A23,'Données projet'!$A$61:$I$81,9,0)</f>
        <v>20</v>
      </c>
      <c r="AH23" s="12">
        <f t="array" ref="AH23">INDEX(AG:AG,MIN(IF(ISNUMBER(AG23:AG219),ROW(AG23:AG219),"")))</f>
        <v>20</v>
      </c>
      <c r="AI23" s="13">
        <f>IF('Données projet'!$A$62&gt;35,AI22+AH23-AQ22,IF(A23&lt;'Données projet'!$A$62,$AF$205^A23,IF(A23='Données projet'!$A$62,'Données projet'!$B$62,AI22+AH23-AQ22)))</f>
        <v>128</v>
      </c>
      <c r="AJ23" s="13">
        <f>AI23*VLOOKUP('Données projet'!$B$10,Paramètres!$A$1:$I$89,3,0)*VLOOKUP('Données projet'!$B$10,Paramètres!$A$1:$I$89,5,0)</f>
        <v>61.567999999999998</v>
      </c>
      <c r="AK23" s="13">
        <f t="shared" si="35"/>
        <v>17.564111423853156</v>
      </c>
      <c r="AL23" s="20">
        <f t="shared" si="4"/>
        <v>137.82176072987758</v>
      </c>
      <c r="AM23" s="59">
        <f t="shared" si="5"/>
        <v>431.15509406321087</v>
      </c>
      <c r="AN23" s="59">
        <f ca="1">AVERAGE(OFFSET($AM$3,0,0,'Données projet'!$E$10+1,1))-AVERAGE(OFFSET($H$3,0,0,'Données projet'!$E$10+1,1))</f>
        <v>349.65790906807746</v>
      </c>
      <c r="AO23" s="59">
        <f t="shared" si="36"/>
        <v>291.88925884278888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3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1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1.6338112053306901</v>
      </c>
      <c r="AX23" s="21">
        <f t="shared" si="6"/>
        <v>1.6338112053306901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102</v>
      </c>
      <c r="BB23" s="12">
        <f>VLOOKUP(A23,'Données projet'!$A$87:$I$107,9,0)</f>
        <v>13.8</v>
      </c>
      <c r="BC23" s="12">
        <f t="array" ref="BC23">INDEX(BB:BB,MIN(IF(ISNUMBER(BB23:BB219),ROW(BB23:BB219),"")))</f>
        <v>13.8</v>
      </c>
      <c r="BD23" s="12">
        <f>IF('Données projet'!$A$88&gt;35,BD22+BC23-BL22,IF(A23&lt;'Données projet'!$A$88,$BA$205^A23,IF(A23='Données projet'!$A$88,'Données projet'!$B$88,BD22+BC23-BL22)))</f>
        <v>101.99999999999999</v>
      </c>
      <c r="BE23" s="13">
        <f>BD23*VLOOKUP('Données projet'!$B$11,Paramètres!$A$1:$I$89,3,0)*VLOOKUP('Données projet'!$B$11,Paramètres!$A$1:$I$89,5,0)</f>
        <v>81.151200000000003</v>
      </c>
      <c r="BF23" s="13">
        <f t="shared" si="37"/>
        <v>22.418424032002342</v>
      </c>
      <c r="BG23" s="20">
        <f t="shared" si="7"/>
        <v>180.38376185573739</v>
      </c>
      <c r="BH23" s="59">
        <f t="shared" si="8"/>
        <v>473.71709518907073</v>
      </c>
      <c r="BI23" s="59">
        <f ca="1">AVERAGE(OFFSET($BH$3,0,0,'Données projet'!$E$11+1,1))-AVERAGE(OFFSET($H$3,0,0,'Données projet'!$E$11+1,1))</f>
        <v>279.49721661620544</v>
      </c>
      <c r="BJ23" s="59">
        <f t="shared" si="38"/>
        <v>275.18739333988754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35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80</v>
      </c>
      <c r="BW23" s="12">
        <f>VLOOKUP(A23,'Données projet'!$A$113:$I$133,9,0)</f>
        <v>11.6</v>
      </c>
      <c r="BX23" s="12">
        <f t="array" ref="BX23">INDEX(BW:BW,MIN(IF(ISNUMBER(BW23:BW219),ROW(BW23:BW219),"")))</f>
        <v>11.6</v>
      </c>
      <c r="BY23" s="12">
        <f>IF('Données projet'!$A$114&gt;35,BY22+BX23-CG22,IF(A23&lt;'Données projet'!$A$114,$BV$205^A23,IF(A23='Données projet'!$A$114,'Données projet'!$B$114,BY22+BX23-CG22)))</f>
        <v>80</v>
      </c>
      <c r="BZ23" s="13">
        <f>BY23*VLOOKUP('Données projet'!$B$12,Paramètres!$A$1:$I$89,3,0)*VLOOKUP('Données projet'!$B$12,Paramètres!$A$1:$I$89,5,0)</f>
        <v>77.376000000000005</v>
      </c>
      <c r="CA23" s="13">
        <f t="shared" si="39"/>
        <v>21.494362519405076</v>
      </c>
      <c r="CB23" s="20">
        <f t="shared" si="10"/>
        <v>172.19921472129715</v>
      </c>
      <c r="CC23" s="59">
        <f t="shared" si="11"/>
        <v>465.53254805463047</v>
      </c>
      <c r="CD23" s="59">
        <f ca="1">AVERAGE(OFFSET($CC$3,0,0,'Données projet'!$E$12+1,1))-AVERAGE(OFFSET($H$3,0,0,'Données projet'!$E$12+1,1))</f>
        <v>281.84871057356037</v>
      </c>
      <c r="CE23" s="59">
        <f t="shared" si="40"/>
        <v>276.02211904126887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28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102</v>
      </c>
      <c r="CR23" s="12">
        <f>VLOOKUP(A23,'Données projet'!$A$139:$I$159,9,0)</f>
        <v>13.8</v>
      </c>
      <c r="CS23" s="12">
        <f t="array" ref="CS23">INDEX(CR:CR,MIN(IF(ISNUMBER(CR23:CR219),ROW(CR23:CR219),"")))</f>
        <v>13.8</v>
      </c>
      <c r="CT23" s="12">
        <f>IF('Données projet'!$A$140&gt;35,CT22+CS23-DB22,IF(A23&lt;'Données projet'!$A$140,$CQ$205^A23,IF(A23='Données projet'!$A$140,'Données projet'!$B$140,CT22+CS23-DB22)))</f>
        <v>101.99999999999999</v>
      </c>
      <c r="CU23" s="17">
        <f>CT23*VLOOKUP('Données projet'!$B$13,Paramètres!$A$1:$I$89,3,0)*VLOOKUP('Données projet'!$B$13,Paramètres!$A$1:$I$89,5,0)</f>
        <v>81.151200000000003</v>
      </c>
      <c r="CV23" s="13">
        <f t="shared" si="41"/>
        <v>22.418424032002342</v>
      </c>
      <c r="CW23" s="20">
        <f t="shared" si="13"/>
        <v>180.38376185573739</v>
      </c>
      <c r="CX23" s="59">
        <f t="shared" si="14"/>
        <v>473.71709518907073</v>
      </c>
      <c r="CY23" s="59">
        <f ca="1">AVERAGE(OFFSET($CX$3,0,0,'Données projet'!$E$13+1,1))-AVERAGE(OFFSET($H$3,0,0,'Données projet'!$E$13+1,1))</f>
        <v>279.49721661620544</v>
      </c>
      <c r="CZ23" s="59">
        <f t="shared" si="42"/>
        <v>275.18739333988754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35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42</v>
      </c>
      <c r="DM23" s="12">
        <f>VLOOKUP(A23,'Données projet'!$A$165:$I$185,9,0)</f>
        <v>2.1</v>
      </c>
      <c r="DN23" s="12">
        <f t="array" ref="DN23">INDEX(DM:DM,MIN(IF(ISNUMBER(DM23:DM219),ROW(DM23:DM219),"")))</f>
        <v>2.1</v>
      </c>
      <c r="DO23" s="12">
        <f>IF('Données projet'!$A$166&gt;35,DO22+DN23-DW22,IF(A23&lt;'Données projet'!$A$166,$DL$205^A23,IF(A23='Données projet'!$A$166,'Données projet'!$B$166,DO22+DN23-DW22)))</f>
        <v>42</v>
      </c>
      <c r="DP23" s="17">
        <f>DO23*VLOOKUP('Données projet'!$B$14,Paramètres!$A$1:$I$89,3,0)*VLOOKUP('Données projet'!$B$14,Paramètres!$A$1:$I$89,5,0)</f>
        <v>42.588000000000001</v>
      </c>
      <c r="DQ23" s="13">
        <f t="shared" si="43"/>
        <v>12.682073764365764</v>
      </c>
      <c r="DR23" s="20">
        <f t="shared" si="16"/>
        <v>96.262045139603686</v>
      </c>
      <c r="DS23" s="59">
        <f t="shared" si="17"/>
        <v>389.595378472937</v>
      </c>
      <c r="DT23" s="59">
        <f ca="1">AVERAGE(OFFSET($DS$3,0,0,'Données projet'!$E$14+1,1))-AVERAGE(OFFSET($H$3,0,0,'Données projet'!$E$14+1,1))</f>
        <v>308.80022073574963</v>
      </c>
      <c r="DU23" s="59">
        <f t="shared" si="44"/>
        <v>183.96267407004115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80</v>
      </c>
      <c r="EH23" s="12">
        <f>VLOOKUP(A23,'Données projet'!$A$191:$I$211,9,0)</f>
        <v>11.6</v>
      </c>
      <c r="EI23" s="12">
        <f t="array" ref="EI23">INDEX(EH:EH,MIN(IF(ISNUMBER(EH23:EH219),ROW(EH23:EH219),"")))</f>
        <v>11.6</v>
      </c>
      <c r="EJ23" s="12">
        <f>IF('Données projet'!$A$192&gt;35,EJ22+EI23-ER22,IF(A23&lt;'Données projet'!$A$192,$EG$205^A23,IF(A23='Données projet'!$A$192,'Données projet'!$B$192,EJ22+EI23-ER22)))</f>
        <v>80</v>
      </c>
      <c r="EK23" s="17">
        <f>EJ23*VLOOKUP('Données projet'!$B$15,Paramètres!$A$1:$I$89,3,0)*VLOOKUP('Données projet'!$B$15,Paramètres!$A$1:$I$89,5,0)</f>
        <v>52.416000000000004</v>
      </c>
      <c r="EL23" s="13">
        <f t="shared" si="45"/>
        <v>15.235978301273029</v>
      </c>
      <c r="EM23" s="20">
        <f t="shared" si="19"/>
        <v>117.82719554138386</v>
      </c>
      <c r="EN23" s="59">
        <f t="shared" si="20"/>
        <v>411.16052887471716</v>
      </c>
      <c r="EO23" s="59">
        <f ca="1">AVERAGE(OFFSET($EN$3,0,0,'Données projet'!$E$15+1,1))-AVERAGE(OFFSET($H$3,0,0,'Données projet'!$E$15+1,1))</f>
        <v>178.71569711875242</v>
      </c>
      <c r="EP23" s="59">
        <f t="shared" si="46"/>
        <v>178.13848582064168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28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>
        <f>VLOOKUP(A23,'Données projet'!$A$217:$I$237,2,0)</f>
        <v>42</v>
      </c>
      <c r="FC23" s="12">
        <f>VLOOKUP(A23,'Données projet'!$A$217:$I$237,9,0)</f>
        <v>2.1</v>
      </c>
      <c r="FD23" s="12">
        <f t="array" ref="FD23">INDEX(FC:FC,MIN(IF(ISNUMBER(FC23:FC219),ROW(FC23:FC219),"")))</f>
        <v>2.1</v>
      </c>
      <c r="FE23" s="12">
        <f>IF('Données projet'!$A$218&gt;35,FE22+FD23-FM22,IF(A23&lt;'Données projet'!$A$218,$FB$205^A23,IF(A23='Données projet'!$A$218,'Données projet'!$B$218,FE22+FD23-FM22)))</f>
        <v>42</v>
      </c>
      <c r="FF23" s="17">
        <f>FE23*VLOOKUP('Données projet'!$B$16,Paramètres!$A$1:$I$89,3,0)*VLOOKUP('Données projet'!$B$16,Paramètres!$A$1:$I$89,5,0)</f>
        <v>35.380800000000001</v>
      </c>
      <c r="FG23" s="13">
        <f t="shared" si="47"/>
        <v>10.765721954933243</v>
      </c>
      <c r="FH23" s="20">
        <f t="shared" si="22"/>
        <v>80.371859071508723</v>
      </c>
      <c r="FI23" s="59">
        <f t="shared" si="23"/>
        <v>373.70519240484202</v>
      </c>
      <c r="FJ23" s="59">
        <f ca="1">AVERAGE(OFFSET($FI$3,0,0,'Données projet'!$E$16+1,1))-AVERAGE(OFFSET($H$3,0,0,'Données projet'!$E$16+1,1))</f>
        <v>247.22536892257716</v>
      </c>
      <c r="FK23" s="59">
        <f t="shared" si="48"/>
        <v>147.97952262756075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6">
        <f t="shared" si="1"/>
        <v>317.11994059772178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13.8</v>
      </c>
      <c r="N24" s="13">
        <f>IF('Données projet'!$A$36&gt;35,N23+M24-V23,IF(A24&lt;'Données projet'!$A$36,$K$205^A24,IF(A24='Données projet'!$A$36,'Données projet'!$B$36,N23+M24-V23)))</f>
        <v>107.80000000000001</v>
      </c>
      <c r="O24" s="13">
        <f>N24*VLOOKUP('Données projet'!$B$9,Paramètres!$A$1:$I$89,3,0)*VLOOKUP('Données projet'!$B$9,Paramètres!$A$1:$I$89,5,0)</f>
        <v>94.174080000000018</v>
      </c>
      <c r="P24" s="13">
        <f t="shared" si="33"/>
        <v>25.569241067746205</v>
      </c>
      <c r="Q24" s="20">
        <f t="shared" si="2"/>
        <v>208.55295085965801</v>
      </c>
      <c r="R24" s="59">
        <f t="shared" si="0"/>
        <v>501.8862841929913</v>
      </c>
      <c r="S24" s="59">
        <f ca="1">AVERAGE(OFFSET($R$3,0,0,'Données projet'!$E$9+1,1))-AVERAGE(OFFSET($H$3,0,0,'Données projet'!$E$9+1,1))</f>
        <v>253.73326067725128</v>
      </c>
      <c r="T24" s="59">
        <f t="shared" si="34"/>
        <v>317.76427047458026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24</v>
      </c>
      <c r="AI24" s="13">
        <f>IF('Données projet'!$A$62&gt;35,AI23+AH24-AQ23,IF(A24&lt;'Données projet'!$A$62,$AF$205^A24,IF(A24='Données projet'!$A$62,'Données projet'!$B$62,AI23+AH24-AQ23)))</f>
        <v>149</v>
      </c>
      <c r="AJ24" s="13">
        <f>AI24*VLOOKUP('Données projet'!$B$10,Paramètres!$A$1:$I$89,3,0)*VLOOKUP('Données projet'!$B$10,Paramètres!$A$1:$I$89,5,0)</f>
        <v>71.669000000000011</v>
      </c>
      <c r="AK24" s="13">
        <f t="shared" si="35"/>
        <v>20.087358990796986</v>
      </c>
      <c r="AL24" s="20">
        <f t="shared" si="4"/>
        <v>159.80899190897142</v>
      </c>
      <c r="AM24" s="59">
        <f t="shared" si="5"/>
        <v>453.14232524230476</v>
      </c>
      <c r="AN24" s="59">
        <f ca="1">AVERAGE(OFFSET($AM$3,0,0,'Données projet'!$E$10+1,1))-AVERAGE(OFFSET($H$3,0,0,'Données projet'!$E$10+1,1))</f>
        <v>349.65790906807746</v>
      </c>
      <c r="AO24" s="59">
        <f t="shared" si="36"/>
        <v>291.88925884278888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1.155278982467898</v>
      </c>
      <c r="AX24" s="21">
        <f t="shared" si="6"/>
        <v>1.155278982467898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14.8</v>
      </c>
      <c r="BD24" s="12">
        <f>IF('Données projet'!$A$88&gt;35,BD23+BC24-BL23,IF(A24&lt;'Données projet'!$A$88,$BA$205^A24,IF(A24='Données projet'!$A$88,'Données projet'!$B$88,BD23+BC24-BL23)))</f>
        <v>81.799999999999983</v>
      </c>
      <c r="BE24" s="13">
        <f>BD24*VLOOKUP('Données projet'!$B$11,Paramètres!$A$1:$I$89,3,0)*VLOOKUP('Données projet'!$B$11,Paramètres!$A$1:$I$89,5,0)</f>
        <v>65.080079999999981</v>
      </c>
      <c r="BF24" s="13">
        <f t="shared" si="37"/>
        <v>18.44653442602603</v>
      </c>
      <c r="BG24" s="20">
        <f t="shared" si="7"/>
        <v>145.47552012532864</v>
      </c>
      <c r="BH24" s="59">
        <f t="shared" si="8"/>
        <v>438.80885345866193</v>
      </c>
      <c r="BI24" s="59">
        <f ca="1">AVERAGE(OFFSET($BH$3,0,0,'Données projet'!$E$11+1,1))-AVERAGE(OFFSET($H$3,0,0,'Données projet'!$E$11+1,1))</f>
        <v>279.49721661620544</v>
      </c>
      <c r="BJ24" s="59">
        <f t="shared" si="38"/>
        <v>275.18739333988754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12.6</v>
      </c>
      <c r="BY24" s="12">
        <f>IF('Données projet'!$A$114&gt;35,BY23+BX24-CG23,IF(A24&lt;'Données projet'!$A$114,$BV$205^A24,IF(A24='Données projet'!$A$114,'Données projet'!$B$114,BY23+BX24-CG23)))</f>
        <v>64.599999999999994</v>
      </c>
      <c r="BZ24" s="13">
        <f>BY24*VLOOKUP('Données projet'!$B$12,Paramètres!$A$1:$I$89,3,0)*VLOOKUP('Données projet'!$B$12,Paramètres!$A$1:$I$89,5,0)</f>
        <v>62.481120000000004</v>
      </c>
      <c r="CA24" s="13">
        <f t="shared" si="39"/>
        <v>17.794087004039255</v>
      </c>
      <c r="CB24" s="20">
        <f t="shared" si="10"/>
        <v>139.81265219870173</v>
      </c>
      <c r="CC24" s="59">
        <f t="shared" si="11"/>
        <v>433.14598553203507</v>
      </c>
      <c r="CD24" s="59">
        <f ca="1">AVERAGE(OFFSET($CC$3,0,0,'Données projet'!$E$12+1,1))-AVERAGE(OFFSET($H$3,0,0,'Données projet'!$E$12+1,1))</f>
        <v>281.84871057356037</v>
      </c>
      <c r="CE24" s="59">
        <f t="shared" si="40"/>
        <v>276.02211904126887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14.8</v>
      </c>
      <c r="CT24" s="12">
        <f>IF('Données projet'!$A$140&gt;35,CT23+CS24-DB23,IF(A24&lt;'Données projet'!$A$140,$CQ$205^A24,IF(A24='Données projet'!$A$140,'Données projet'!$B$140,CT23+CS24-DB23)))</f>
        <v>81.799999999999983</v>
      </c>
      <c r="CU24" s="17">
        <f>CT24*VLOOKUP('Données projet'!$B$13,Paramètres!$A$1:$I$89,3,0)*VLOOKUP('Données projet'!$B$13,Paramètres!$A$1:$I$89,5,0)</f>
        <v>65.080079999999981</v>
      </c>
      <c r="CV24" s="13">
        <f t="shared" si="41"/>
        <v>18.44653442602603</v>
      </c>
      <c r="CW24" s="20">
        <f t="shared" si="13"/>
        <v>145.47552012532864</v>
      </c>
      <c r="CX24" s="59">
        <f t="shared" si="14"/>
        <v>438.80885345866193</v>
      </c>
      <c r="CY24" s="59">
        <f ca="1">AVERAGE(OFFSET($CX$3,0,0,'Données projet'!$E$13+1,1))-AVERAGE(OFFSET($H$3,0,0,'Données projet'!$E$13+1,1))</f>
        <v>279.49721661620544</v>
      </c>
      <c r="CZ24" s="59">
        <f t="shared" si="42"/>
        <v>275.18739333988754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5.6</v>
      </c>
      <c r="DO24" s="12">
        <f>IF('Données projet'!$A$166&gt;35,DO23+DN24-DW23,IF(A24&lt;'Données projet'!$A$166,$DL$205^A24,IF(A24='Données projet'!$A$166,'Données projet'!$B$166,DO23+DN24-DW23)))</f>
        <v>47.6</v>
      </c>
      <c r="DP24" s="17">
        <f>DO24*VLOOKUP('Données projet'!$B$14,Paramètres!$A$1:$I$89,3,0)*VLOOKUP('Données projet'!$B$14,Paramètres!$A$1:$I$89,5,0)</f>
        <v>48.266400000000004</v>
      </c>
      <c r="DQ24" s="13">
        <f t="shared" si="43"/>
        <v>14.165134590154434</v>
      </c>
      <c r="DR24" s="20">
        <f t="shared" si="16"/>
        <v>108.73492274451898</v>
      </c>
      <c r="DS24" s="59">
        <f t="shared" si="17"/>
        <v>402.06825607785231</v>
      </c>
      <c r="DT24" s="59">
        <f ca="1">AVERAGE(OFFSET($DS$3,0,0,'Données projet'!$E$14+1,1))-AVERAGE(OFFSET($H$3,0,0,'Données projet'!$E$14+1,1))</f>
        <v>308.80022073574963</v>
      </c>
      <c r="DU24" s="59">
        <f t="shared" si="44"/>
        <v>183.96267407004115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12.6</v>
      </c>
      <c r="EJ24" s="12">
        <f>IF('Données projet'!$A$192&gt;35,EJ23+EI24-ER23,IF(A24&lt;'Données projet'!$A$192,$EG$205^A24,IF(A24='Données projet'!$A$192,'Données projet'!$B$192,EJ23+EI24-ER23)))</f>
        <v>64.599999999999994</v>
      </c>
      <c r="EK24" s="17">
        <f>EJ24*VLOOKUP('Données projet'!$B$15,Paramètres!$A$1:$I$89,3,0)*VLOOKUP('Données projet'!$B$15,Paramètres!$A$1:$I$89,5,0)</f>
        <v>42.325919999999996</v>
      </c>
      <c r="EL24" s="13">
        <f t="shared" si="45"/>
        <v>12.613089745729766</v>
      </c>
      <c r="EM24" s="20">
        <f t="shared" si="19"/>
        <v>95.685441973812658</v>
      </c>
      <c r="EN24" s="59">
        <f t="shared" si="20"/>
        <v>389.01877530714597</v>
      </c>
      <c r="EO24" s="59">
        <f ca="1">AVERAGE(OFFSET($EN$3,0,0,'Données projet'!$E$15+1,1))-AVERAGE(OFFSET($H$3,0,0,'Données projet'!$E$15+1,1))</f>
        <v>178.71569711875242</v>
      </c>
      <c r="EP24" s="59">
        <f t="shared" si="46"/>
        <v>178.13848582064168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5.6</v>
      </c>
      <c r="FE24" s="12">
        <f>IF('Données projet'!$A$218&gt;35,FE23+FD24-FM23,IF(A24&lt;'Données projet'!$A$218,$FB$205^A24,IF(A24='Données projet'!$A$218,'Données projet'!$B$218,FE23+FD24-FM23)))</f>
        <v>47.6</v>
      </c>
      <c r="FF24" s="17">
        <f>FE24*VLOOKUP('Données projet'!$B$16,Paramètres!$A$1:$I$89,3,0)*VLOOKUP('Données projet'!$B$16,Paramètres!$A$1:$I$89,5,0)</f>
        <v>40.098240000000011</v>
      </c>
      <c r="FG24" s="13">
        <f t="shared" si="47"/>
        <v>12.024681710991171</v>
      </c>
      <c r="FH24" s="20">
        <f t="shared" si="22"/>
        <v>90.780755313309626</v>
      </c>
      <c r="FI24" s="59">
        <f t="shared" si="23"/>
        <v>384.11408864664293</v>
      </c>
      <c r="FJ24" s="59">
        <f ca="1">AVERAGE(OFFSET($FI$3,0,0,'Données projet'!$E$16+1,1))-AVERAGE(OFFSET($H$3,0,0,'Données projet'!$E$16+1,1))</f>
        <v>247.22536892257716</v>
      </c>
      <c r="FK24" s="59">
        <f t="shared" si="48"/>
        <v>147.97952262756075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6">
        <f t="shared" si="1"/>
        <v>318.21759373877319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13.8</v>
      </c>
      <c r="N25" s="13">
        <f>IF('Données projet'!$A$36&gt;35,N24+M25-V24,IF(A25&lt;'Données projet'!$A$36,$K$205^A25,IF(A25='Données projet'!$A$36,'Données projet'!$B$36,N24+M25-V24)))</f>
        <v>121.60000000000001</v>
      </c>
      <c r="O25" s="13">
        <f>N25*VLOOKUP('Données projet'!$B$9,Paramètres!$A$1:$I$89,3,0)*VLOOKUP('Données projet'!$B$9,Paramètres!$A$1:$I$89,5,0)</f>
        <v>106.22976000000003</v>
      </c>
      <c r="P25" s="13">
        <f t="shared" si="33"/>
        <v>28.440891625171492</v>
      </c>
      <c r="Q25" s="20">
        <f t="shared" si="2"/>
        <v>234.55138491384039</v>
      </c>
      <c r="R25" s="59">
        <f t="shared" si="0"/>
        <v>527.88471824717374</v>
      </c>
      <c r="S25" s="59">
        <f ca="1">AVERAGE(OFFSET($R$3,0,0,'Données projet'!$E$9+1,1))-AVERAGE(OFFSET($H$3,0,0,'Données projet'!$E$9+1,1))</f>
        <v>253.73326067725128</v>
      </c>
      <c r="T25" s="59">
        <f t="shared" si="34"/>
        <v>317.76427047458026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24</v>
      </c>
      <c r="AI25" s="13">
        <f>IF('Données projet'!$A$62&gt;35,AI24+AH25-AQ24,IF(A25&lt;'Données projet'!$A$62,$AF$205^A25,IF(A25='Données projet'!$A$62,'Données projet'!$B$62,AI24+AH25-AQ24)))</f>
        <v>173</v>
      </c>
      <c r="AJ25" s="13">
        <f>AI25*VLOOKUP('Données projet'!$B$10,Paramètres!$A$1:$I$89,3,0)*VLOOKUP('Données projet'!$B$10,Paramètres!$A$1:$I$89,5,0)</f>
        <v>83.213000000000008</v>
      </c>
      <c r="AK25" s="13">
        <f t="shared" si="35"/>
        <v>22.920969912605049</v>
      </c>
      <c r="AL25" s="20">
        <f t="shared" si="4"/>
        <v>184.84999759778714</v>
      </c>
      <c r="AM25" s="59">
        <f t="shared" si="5"/>
        <v>478.18333093112045</v>
      </c>
      <c r="AN25" s="59">
        <f ca="1">AVERAGE(OFFSET($AM$3,0,0,'Données projet'!$E$10+1,1))-AVERAGE(OFFSET($H$3,0,0,'Données projet'!$E$10+1,1))</f>
        <v>349.65790906807746</v>
      </c>
      <c r="AO25" s="59">
        <f t="shared" si="36"/>
        <v>291.88925884278888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0.81690560266534529</v>
      </c>
      <c r="AX25" s="21">
        <f t="shared" si="6"/>
        <v>0.81690560266534529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14.8</v>
      </c>
      <c r="BD25" s="12">
        <f>IF('Données projet'!$A$88&gt;35,BD24+BC25-BL24,IF(A25&lt;'Données projet'!$A$88,$BA$205^A25,IF(A25='Données projet'!$A$88,'Données projet'!$B$88,BD24+BC25-BL24)))</f>
        <v>96.59999999999998</v>
      </c>
      <c r="BE25" s="13">
        <f>BD25*VLOOKUP('Données projet'!$B$11,Paramètres!$A$1:$I$89,3,0)*VLOOKUP('Données projet'!$B$11,Paramètres!$A$1:$I$89,5,0)</f>
        <v>76.854959999999991</v>
      </c>
      <c r="BF25" s="13">
        <f t="shared" si="37"/>
        <v>21.366419773799993</v>
      </c>
      <c r="BG25" s="20">
        <f t="shared" si="7"/>
        <v>171.06890310603498</v>
      </c>
      <c r="BH25" s="59">
        <f t="shared" si="8"/>
        <v>464.40223643936827</v>
      </c>
      <c r="BI25" s="59">
        <f ca="1">AVERAGE(OFFSET($BH$3,0,0,'Données projet'!$E$11+1,1))-AVERAGE(OFFSET($H$3,0,0,'Données projet'!$E$11+1,1))</f>
        <v>279.49721661620544</v>
      </c>
      <c r="BJ25" s="59">
        <f t="shared" si="38"/>
        <v>275.18739333988754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12.6</v>
      </c>
      <c r="BY25" s="12">
        <f>IF('Données projet'!$A$114&gt;35,BY24+BX25-CG24,IF(A25&lt;'Données projet'!$A$114,$BV$205^A25,IF(A25='Données projet'!$A$114,'Données projet'!$B$114,BY24+BX25-CG24)))</f>
        <v>77.199999999999989</v>
      </c>
      <c r="BZ25" s="13">
        <f>BY25*VLOOKUP('Données projet'!$B$12,Paramètres!$A$1:$I$89,3,0)*VLOOKUP('Données projet'!$B$12,Paramètres!$A$1:$I$89,5,0)</f>
        <v>74.667839999999984</v>
      </c>
      <c r="CA25" s="13">
        <f t="shared" si="39"/>
        <v>20.8282558295016</v>
      </c>
      <c r="CB25" s="20">
        <f t="shared" si="10"/>
        <v>166.32236690304859</v>
      </c>
      <c r="CC25" s="59">
        <f t="shared" si="11"/>
        <v>459.6557002363819</v>
      </c>
      <c r="CD25" s="59">
        <f ca="1">AVERAGE(OFFSET($CC$3,0,0,'Données projet'!$E$12+1,1))-AVERAGE(OFFSET($H$3,0,0,'Données projet'!$E$12+1,1))</f>
        <v>281.84871057356037</v>
      </c>
      <c r="CE25" s="59">
        <f t="shared" si="40"/>
        <v>276.02211904126887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14.8</v>
      </c>
      <c r="CT25" s="12">
        <f>IF('Données projet'!$A$140&gt;35,CT24+CS25-DB24,IF(A25&lt;'Données projet'!$A$140,$CQ$205^A25,IF(A25='Données projet'!$A$140,'Données projet'!$B$140,CT24+CS25-DB24)))</f>
        <v>96.59999999999998</v>
      </c>
      <c r="CU25" s="17">
        <f>CT25*VLOOKUP('Données projet'!$B$13,Paramètres!$A$1:$I$89,3,0)*VLOOKUP('Données projet'!$B$13,Paramètres!$A$1:$I$89,5,0)</f>
        <v>76.854959999999991</v>
      </c>
      <c r="CV25" s="13">
        <f t="shared" si="41"/>
        <v>21.366419773799993</v>
      </c>
      <c r="CW25" s="20">
        <f t="shared" si="13"/>
        <v>171.06890310603498</v>
      </c>
      <c r="CX25" s="59">
        <f t="shared" si="14"/>
        <v>464.40223643936827</v>
      </c>
      <c r="CY25" s="59">
        <f ca="1">AVERAGE(OFFSET($CX$3,0,0,'Données projet'!$E$13+1,1))-AVERAGE(OFFSET($H$3,0,0,'Données projet'!$E$13+1,1))</f>
        <v>279.49721661620544</v>
      </c>
      <c r="CZ25" s="59">
        <f t="shared" si="42"/>
        <v>275.18739333988754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5.6</v>
      </c>
      <c r="DO25" s="12">
        <f>IF('Données projet'!$A$166&gt;35,DO24+DN25-DW24,IF(A25&lt;'Données projet'!$A$166,$DL$205^A25,IF(A25='Données projet'!$A$166,'Données projet'!$B$166,DO24+DN25-DW24)))</f>
        <v>53.2</v>
      </c>
      <c r="DP25" s="17">
        <f>DO25*VLOOKUP('Données projet'!$B$14,Paramètres!$A$1:$I$89,3,0)*VLOOKUP('Données projet'!$B$14,Paramètres!$A$1:$I$89,5,0)</f>
        <v>53.944800000000008</v>
      </c>
      <c r="DQ25" s="13">
        <f t="shared" si="43"/>
        <v>15.627975445731321</v>
      </c>
      <c r="DR25" s="20">
        <f t="shared" si="16"/>
        <v>121.17258390131538</v>
      </c>
      <c r="DS25" s="59">
        <f t="shared" si="17"/>
        <v>414.50591723464868</v>
      </c>
      <c r="DT25" s="59">
        <f ca="1">AVERAGE(OFFSET($DS$3,0,0,'Données projet'!$E$14+1,1))-AVERAGE(OFFSET($H$3,0,0,'Données projet'!$E$14+1,1))</f>
        <v>308.80022073574963</v>
      </c>
      <c r="DU25" s="59">
        <f t="shared" si="44"/>
        <v>183.96267407004115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12.6</v>
      </c>
      <c r="EJ25" s="12">
        <f>IF('Données projet'!$A$192&gt;35,EJ24+EI25-ER24,IF(A25&lt;'Données projet'!$A$192,$EG$205^A25,IF(A25='Données projet'!$A$192,'Données projet'!$B$192,EJ24+EI25-ER24)))</f>
        <v>77.199999999999989</v>
      </c>
      <c r="EK25" s="17">
        <f>EJ25*VLOOKUP('Données projet'!$B$15,Paramètres!$A$1:$I$89,3,0)*VLOOKUP('Données projet'!$B$15,Paramètres!$A$1:$I$89,5,0)</f>
        <v>50.581439999999986</v>
      </c>
      <c r="EL25" s="13">
        <f t="shared" si="45"/>
        <v>14.763817888767656</v>
      </c>
      <c r="EM25" s="20">
        <f t="shared" si="19"/>
        <v>113.80965748960364</v>
      </c>
      <c r="EN25" s="59">
        <f t="shared" si="20"/>
        <v>407.14299082293695</v>
      </c>
      <c r="EO25" s="59">
        <f ca="1">AVERAGE(OFFSET($EN$3,0,0,'Données projet'!$E$15+1,1))-AVERAGE(OFFSET($H$3,0,0,'Données projet'!$E$15+1,1))</f>
        <v>178.71569711875242</v>
      </c>
      <c r="EP25" s="59">
        <f t="shared" si="46"/>
        <v>178.13848582064168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5.6</v>
      </c>
      <c r="FE25" s="12">
        <f>IF('Données projet'!$A$218&gt;35,FE24+FD25-FM24,IF(A25&lt;'Données projet'!$A$218,$FB$205^A25,IF(A25='Données projet'!$A$218,'Données projet'!$B$218,FE24+FD25-FM24)))</f>
        <v>53.2</v>
      </c>
      <c r="FF25" s="17">
        <f>FE25*VLOOKUP('Données projet'!$B$16,Paramètres!$A$1:$I$89,3,0)*VLOOKUP('Données projet'!$B$16,Paramètres!$A$1:$I$89,5,0)</f>
        <v>44.815680000000008</v>
      </c>
      <c r="FG25" s="13">
        <f t="shared" si="47"/>
        <v>13.266476878569183</v>
      </c>
      <c r="FH25" s="20">
        <f t="shared" si="22"/>
        <v>101.159756563508</v>
      </c>
      <c r="FI25" s="59">
        <f t="shared" si="23"/>
        <v>394.4930898968413</v>
      </c>
      <c r="FJ25" s="59">
        <f ca="1">AVERAGE(OFFSET($FI$3,0,0,'Données projet'!$E$16+1,1))-AVERAGE(OFFSET($H$3,0,0,'Données projet'!$E$16+1,1))</f>
        <v>247.22536892257716</v>
      </c>
      <c r="FK25" s="59">
        <f t="shared" si="48"/>
        <v>147.97952262756075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6">
        <f t="shared" si="1"/>
        <v>319.31387484448885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13.8</v>
      </c>
      <c r="N26" s="13">
        <f>IF('Données projet'!$A$36&gt;35,N25+M26-V25,IF(A26&lt;'Données projet'!$A$36,$K$205^A26,IF(A26='Données projet'!$A$36,'Données projet'!$B$36,N25+M26-V25)))</f>
        <v>135.4</v>
      </c>
      <c r="O26" s="13">
        <f>N26*VLOOKUP('Données projet'!$B$9,Paramètres!$A$1:$I$89,3,0)*VLOOKUP('Données projet'!$B$9,Paramètres!$A$1:$I$89,5,0)</f>
        <v>118.28544000000002</v>
      </c>
      <c r="P26" s="13">
        <f t="shared" si="33"/>
        <v>31.274772013169596</v>
      </c>
      <c r="Q26" s="20">
        <f t="shared" si="2"/>
        <v>260.48403592293715</v>
      </c>
      <c r="R26" s="59">
        <f t="shared" si="0"/>
        <v>553.81736925627047</v>
      </c>
      <c r="S26" s="59">
        <f ca="1">AVERAGE(OFFSET($R$3,0,0,'Données projet'!$E$9+1,1))-AVERAGE(OFFSET($H$3,0,0,'Données projet'!$E$9+1,1))</f>
        <v>253.73326067725128</v>
      </c>
      <c r="T26" s="59">
        <f t="shared" si="34"/>
        <v>317.76427047458026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24</v>
      </c>
      <c r="AI26" s="13">
        <f>IF('Données projet'!$A$62&gt;35,AI25+AH26-AQ25,IF(A26&lt;'Données projet'!$A$62,$AF$205^A26,IF(A26='Données projet'!$A$62,'Données projet'!$B$62,AI25+AH26-AQ25)))</f>
        <v>197</v>
      </c>
      <c r="AJ26" s="13">
        <f>AI26*VLOOKUP('Données projet'!$B$10,Paramètres!$A$1:$I$89,3,0)*VLOOKUP('Données projet'!$B$10,Paramètres!$A$1:$I$89,5,0)</f>
        <v>94.757000000000005</v>
      </c>
      <c r="AK26" s="13">
        <f t="shared" si="35"/>
        <v>25.70903714747045</v>
      </c>
      <c r="AL26" s="20">
        <f t="shared" si="4"/>
        <v>209.81168136517772</v>
      </c>
      <c r="AM26" s="59">
        <f t="shared" si="5"/>
        <v>503.14501469851103</v>
      </c>
      <c r="AN26" s="59">
        <f ca="1">AVERAGE(OFFSET($AM$3,0,0,'Données projet'!$E$10+1,1))-AVERAGE(OFFSET($H$3,0,0,'Données projet'!$E$10+1,1))</f>
        <v>349.65790906807746</v>
      </c>
      <c r="AO26" s="59">
        <f t="shared" si="36"/>
        <v>291.88925884278888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0.57763949123394909</v>
      </c>
      <c r="AX26" s="21">
        <f t="shared" si="6"/>
        <v>0.57763949123394909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14.8</v>
      </c>
      <c r="BD26" s="12">
        <f>IF('Données projet'!$A$88&gt;35,BD25+BC26-BL25,IF(A26&lt;'Données projet'!$A$88,$BA$205^A26,IF(A26='Données projet'!$A$88,'Données projet'!$B$88,BD25+BC26-BL25)))</f>
        <v>111.39999999999998</v>
      </c>
      <c r="BE26" s="13">
        <f>BD26*VLOOKUP('Données projet'!$B$11,Paramètres!$A$1:$I$89,3,0)*VLOOKUP('Données projet'!$B$11,Paramètres!$A$1:$I$89,5,0)</f>
        <v>88.629839999999987</v>
      </c>
      <c r="BF26" s="13">
        <f t="shared" si="37"/>
        <v>24.23448093253452</v>
      </c>
      <c r="BG26" s="20">
        <f t="shared" si="7"/>
        <v>196.57202562416424</v>
      </c>
      <c r="BH26" s="59">
        <f t="shared" si="8"/>
        <v>489.90535895749758</v>
      </c>
      <c r="BI26" s="59">
        <f ca="1">AVERAGE(OFFSET($BH$3,0,0,'Données projet'!$E$11+1,1))-AVERAGE(OFFSET($H$3,0,0,'Données projet'!$E$11+1,1))</f>
        <v>279.49721661620544</v>
      </c>
      <c r="BJ26" s="59">
        <f t="shared" si="38"/>
        <v>275.18739333988754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12.6</v>
      </c>
      <c r="BY26" s="12">
        <f>IF('Données projet'!$A$114&gt;35,BY25+BX26-CG25,IF(A26&lt;'Données projet'!$A$114,$BV$205^A26,IF(A26='Données projet'!$A$114,'Données projet'!$B$114,BY25+BX26-CG25)))</f>
        <v>89.799999999999983</v>
      </c>
      <c r="BZ26" s="13">
        <f>BY26*VLOOKUP('Données projet'!$B$12,Paramètres!$A$1:$I$89,3,0)*VLOOKUP('Données projet'!$B$12,Paramètres!$A$1:$I$89,5,0)</f>
        <v>86.854559999999978</v>
      </c>
      <c r="CA26" s="13">
        <f t="shared" si="39"/>
        <v>23.805057119908486</v>
      </c>
      <c r="CB26" s="20">
        <f t="shared" si="10"/>
        <v>192.73216648384053</v>
      </c>
      <c r="CC26" s="59">
        <f t="shared" si="11"/>
        <v>486.06549981717387</v>
      </c>
      <c r="CD26" s="59">
        <f ca="1">AVERAGE(OFFSET($CC$3,0,0,'Données projet'!$E$12+1,1))-AVERAGE(OFFSET($H$3,0,0,'Données projet'!$E$12+1,1))</f>
        <v>281.84871057356037</v>
      </c>
      <c r="CE26" s="59">
        <f t="shared" si="40"/>
        <v>276.02211904126887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14.8</v>
      </c>
      <c r="CT26" s="12">
        <f>IF('Données projet'!$A$140&gt;35,CT25+CS26-DB25,IF(A26&lt;'Données projet'!$A$140,$CQ$205^A26,IF(A26='Données projet'!$A$140,'Données projet'!$B$140,CT25+CS26-DB25)))</f>
        <v>111.39999999999998</v>
      </c>
      <c r="CU26" s="17">
        <f>CT26*VLOOKUP('Données projet'!$B$13,Paramètres!$A$1:$I$89,3,0)*VLOOKUP('Données projet'!$B$13,Paramètres!$A$1:$I$89,5,0)</f>
        <v>88.629839999999987</v>
      </c>
      <c r="CV26" s="13">
        <f t="shared" si="41"/>
        <v>24.23448093253452</v>
      </c>
      <c r="CW26" s="20">
        <f t="shared" si="13"/>
        <v>196.57202562416424</v>
      </c>
      <c r="CX26" s="59">
        <f t="shared" si="14"/>
        <v>489.90535895749758</v>
      </c>
      <c r="CY26" s="59">
        <f ca="1">AVERAGE(OFFSET($CX$3,0,0,'Données projet'!$E$13+1,1))-AVERAGE(OFFSET($H$3,0,0,'Données projet'!$E$13+1,1))</f>
        <v>279.49721661620544</v>
      </c>
      <c r="CZ26" s="59">
        <f t="shared" si="42"/>
        <v>275.18739333988754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5.6</v>
      </c>
      <c r="DO26" s="12">
        <f>IF('Données projet'!$A$166&gt;35,DO25+DN26-DW25,IF(A26&lt;'Données projet'!$A$166,$DL$205^A26,IF(A26='Données projet'!$A$166,'Données projet'!$B$166,DO25+DN26-DW25)))</f>
        <v>58.800000000000004</v>
      </c>
      <c r="DP26" s="17">
        <f>DO26*VLOOKUP('Données projet'!$B$14,Paramètres!$A$1:$I$89,3,0)*VLOOKUP('Données projet'!$B$14,Paramètres!$A$1:$I$89,5,0)</f>
        <v>59.623200000000011</v>
      </c>
      <c r="DQ26" s="13">
        <f t="shared" si="43"/>
        <v>17.072967249098898</v>
      </c>
      <c r="DR26" s="20">
        <f t="shared" si="16"/>
        <v>133.57915795884725</v>
      </c>
      <c r="DS26" s="59">
        <f t="shared" si="17"/>
        <v>426.91249129218056</v>
      </c>
      <c r="DT26" s="59">
        <f ca="1">AVERAGE(OFFSET($DS$3,0,0,'Données projet'!$E$14+1,1))-AVERAGE(OFFSET($H$3,0,0,'Données projet'!$E$14+1,1))</f>
        <v>308.80022073574963</v>
      </c>
      <c r="DU26" s="59">
        <f t="shared" si="44"/>
        <v>183.96267407004115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12.6</v>
      </c>
      <c r="EJ26" s="12">
        <f>IF('Données projet'!$A$192&gt;35,EJ25+EI26-ER25,IF(A26&lt;'Données projet'!$A$192,$EG$205^A26,IF(A26='Données projet'!$A$192,'Données projet'!$B$192,EJ25+EI26-ER25)))</f>
        <v>89.799999999999983</v>
      </c>
      <c r="EK26" s="17">
        <f>EJ26*VLOOKUP('Données projet'!$B$15,Paramètres!$A$1:$I$89,3,0)*VLOOKUP('Données projet'!$B$15,Paramètres!$A$1:$I$89,5,0)</f>
        <v>58.836959999999991</v>
      </c>
      <c r="EL26" s="13">
        <f t="shared" si="45"/>
        <v>16.873881856791602</v>
      </c>
      <c r="EM26" s="20">
        <f t="shared" si="19"/>
        <v>131.86304956724535</v>
      </c>
      <c r="EN26" s="59">
        <f t="shared" si="20"/>
        <v>425.19638290057867</v>
      </c>
      <c r="EO26" s="59">
        <f ca="1">AVERAGE(OFFSET($EN$3,0,0,'Données projet'!$E$15+1,1))-AVERAGE(OFFSET($H$3,0,0,'Données projet'!$E$15+1,1))</f>
        <v>178.71569711875242</v>
      </c>
      <c r="EP26" s="59">
        <f t="shared" si="46"/>
        <v>178.13848582064168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5.6</v>
      </c>
      <c r="FE26" s="12">
        <f>IF('Données projet'!$A$218&gt;35,FE25+FD26-FM25,IF(A26&lt;'Données projet'!$A$218,$FB$205^A26,IF(A26='Données projet'!$A$218,'Données projet'!$B$218,FE25+FD26-FM25)))</f>
        <v>58.800000000000004</v>
      </c>
      <c r="FF26" s="17">
        <f>FE26*VLOOKUP('Données projet'!$B$16,Paramètres!$A$1:$I$89,3,0)*VLOOKUP('Données projet'!$B$16,Paramètres!$A$1:$I$89,5,0)</f>
        <v>49.533120000000011</v>
      </c>
      <c r="FG26" s="13">
        <f t="shared" si="47"/>
        <v>14.493120113047395</v>
      </c>
      <c r="FH26" s="20">
        <f t="shared" si="22"/>
        <v>111.5123681968909</v>
      </c>
      <c r="FI26" s="59">
        <f t="shared" si="23"/>
        <v>404.84570153022423</v>
      </c>
      <c r="FJ26" s="59">
        <f ca="1">AVERAGE(OFFSET($FI$3,0,0,'Données projet'!$E$16+1,1))-AVERAGE(OFFSET($H$3,0,0,'Données projet'!$E$16+1,1))</f>
        <v>247.22536892257716</v>
      </c>
      <c r="FK26" s="59">
        <f t="shared" si="48"/>
        <v>147.97952262756075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6">
        <f t="shared" si="1"/>
        <v>320.40885038678698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13.8</v>
      </c>
      <c r="N27" s="13">
        <f>IF('Données projet'!$A$36&gt;35,N26+M27-V26,IF(A27&lt;'Données projet'!$A$36,$K$205^A27,IF(A27='Données projet'!$A$36,'Données projet'!$B$36,N26+M27-V26)))</f>
        <v>149.20000000000002</v>
      </c>
      <c r="O27" s="13">
        <f>N27*VLOOKUP('Données projet'!$B$9,Paramètres!$A$1:$I$89,3,0)*VLOOKUP('Données projet'!$B$9,Paramètres!$A$1:$I$89,5,0)</f>
        <v>130.34112000000005</v>
      </c>
      <c r="P27" s="13">
        <f t="shared" si="33"/>
        <v>34.075170122989917</v>
      </c>
      <c r="Q27" s="20">
        <f t="shared" si="2"/>
        <v>286.35837196420749</v>
      </c>
      <c r="R27" s="59">
        <f t="shared" si="0"/>
        <v>579.69170529754081</v>
      </c>
      <c r="S27" s="59">
        <f ca="1">AVERAGE(OFFSET($R$3,0,0,'Données projet'!$E$9+1,1))-AVERAGE(OFFSET($H$3,0,0,'Données projet'!$E$9+1,1))</f>
        <v>253.73326067725128</v>
      </c>
      <c r="T27" s="59">
        <f t="shared" si="34"/>
        <v>317.76427047458026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24</v>
      </c>
      <c r="AI27" s="13">
        <f>IF('Données projet'!$A$62&gt;35,AI26+AH27-AQ26,IF(A27&lt;'Données projet'!$A$62,$AF$205^A27,IF(A27='Données projet'!$A$62,'Données projet'!$B$62,AI26+AH27-AQ26)))</f>
        <v>221</v>
      </c>
      <c r="AJ27" s="13">
        <f>AI27*VLOOKUP('Données projet'!$B$10,Paramètres!$A$1:$I$89,3,0)*VLOOKUP('Données projet'!$B$10,Paramètres!$A$1:$I$89,5,0)</f>
        <v>106.301</v>
      </c>
      <c r="AK27" s="13">
        <f t="shared" si="35"/>
        <v>28.457743944446584</v>
      </c>
      <c r="AL27" s="20">
        <f t="shared" si="4"/>
        <v>234.70481236991114</v>
      </c>
      <c r="AM27" s="59">
        <f t="shared" si="5"/>
        <v>528.03814570324448</v>
      </c>
      <c r="AN27" s="59">
        <f ca="1">AVERAGE(OFFSET($AM$3,0,0,'Données projet'!$E$10+1,1))-AVERAGE(OFFSET($H$3,0,0,'Données projet'!$E$10+1,1))</f>
        <v>349.65790906807746</v>
      </c>
      <c r="AO27" s="59">
        <f t="shared" si="36"/>
        <v>291.88925884278888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0.4084528013326727</v>
      </c>
      <c r="AX27" s="21">
        <f t="shared" si="6"/>
        <v>0.4084528013326727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14.8</v>
      </c>
      <c r="BD27" s="12">
        <f>IF('Données projet'!$A$88&gt;35,BD26+BC27-BL26,IF(A27&lt;'Données projet'!$A$88,$BA$205^A27,IF(A27='Données projet'!$A$88,'Données projet'!$B$88,BD26+BC27-BL26)))</f>
        <v>126.19999999999997</v>
      </c>
      <c r="BE27" s="13">
        <f>BD27*VLOOKUP('Données projet'!$B$11,Paramètres!$A$1:$I$89,3,0)*VLOOKUP('Données projet'!$B$11,Paramètres!$A$1:$I$89,5,0)</f>
        <v>100.40472</v>
      </c>
      <c r="BF27" s="13">
        <f t="shared" si="37"/>
        <v>27.058393830330502</v>
      </c>
      <c r="BG27" s="20">
        <f t="shared" si="7"/>
        <v>221.99825658782561</v>
      </c>
      <c r="BH27" s="59">
        <f t="shared" si="8"/>
        <v>515.33158992115887</v>
      </c>
      <c r="BI27" s="59">
        <f ca="1">AVERAGE(OFFSET($BH$3,0,0,'Données projet'!$E$11+1,1))-AVERAGE(OFFSET($H$3,0,0,'Données projet'!$E$11+1,1))</f>
        <v>279.49721661620544</v>
      </c>
      <c r="BJ27" s="59">
        <f t="shared" si="38"/>
        <v>275.18739333988754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12.6</v>
      </c>
      <c r="BY27" s="12">
        <f>IF('Données projet'!$A$114&gt;35,BY26+BX27-CG26,IF(A27&lt;'Données projet'!$A$114,$BV$205^A27,IF(A27='Données projet'!$A$114,'Données projet'!$B$114,BY26+BX27-CG26)))</f>
        <v>102.39999999999998</v>
      </c>
      <c r="BZ27" s="13">
        <f>BY27*VLOOKUP('Données projet'!$B$12,Paramètres!$A$1:$I$89,3,0)*VLOOKUP('Données projet'!$B$12,Paramètres!$A$1:$I$89,5,0)</f>
        <v>99.041279999999986</v>
      </c>
      <c r="CA27" s="13">
        <f t="shared" si="39"/>
        <v>26.733467829262995</v>
      </c>
      <c r="CB27" s="20">
        <f t="shared" si="10"/>
        <v>219.05768580263302</v>
      </c>
      <c r="CC27" s="59">
        <f t="shared" si="11"/>
        <v>512.3910191359663</v>
      </c>
      <c r="CD27" s="59">
        <f ca="1">AVERAGE(OFFSET($CC$3,0,0,'Données projet'!$E$12+1,1))-AVERAGE(OFFSET($H$3,0,0,'Données projet'!$E$12+1,1))</f>
        <v>281.84871057356037</v>
      </c>
      <c r="CE27" s="59">
        <f t="shared" si="40"/>
        <v>276.02211904126887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14.8</v>
      </c>
      <c r="CT27" s="12">
        <f>IF('Données projet'!$A$140&gt;35,CT26+CS27-DB26,IF(A27&lt;'Données projet'!$A$140,$CQ$205^A27,IF(A27='Données projet'!$A$140,'Données projet'!$B$140,CT26+CS27-DB26)))</f>
        <v>126.19999999999997</v>
      </c>
      <c r="CU27" s="17">
        <f>CT27*VLOOKUP('Données projet'!$B$13,Paramètres!$A$1:$I$89,3,0)*VLOOKUP('Données projet'!$B$13,Paramètres!$A$1:$I$89,5,0)</f>
        <v>100.40472</v>
      </c>
      <c r="CV27" s="13">
        <f t="shared" si="41"/>
        <v>27.058393830330502</v>
      </c>
      <c r="CW27" s="20">
        <f t="shared" si="13"/>
        <v>221.99825658782561</v>
      </c>
      <c r="CX27" s="59">
        <f t="shared" si="14"/>
        <v>515.33158992115887</v>
      </c>
      <c r="CY27" s="59">
        <f ca="1">AVERAGE(OFFSET($CX$3,0,0,'Données projet'!$E$13+1,1))-AVERAGE(OFFSET($H$3,0,0,'Données projet'!$E$13+1,1))</f>
        <v>279.49721661620544</v>
      </c>
      <c r="CZ27" s="59">
        <f t="shared" si="42"/>
        <v>275.18739333988754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5.6</v>
      </c>
      <c r="DO27" s="12">
        <f>IF('Données projet'!$A$166&gt;35,DO26+DN27-DW26,IF(A27&lt;'Données projet'!$A$166,$DL$205^A27,IF(A27='Données projet'!$A$166,'Données projet'!$B$166,DO26+DN27-DW26)))</f>
        <v>64.400000000000006</v>
      </c>
      <c r="DP27" s="17">
        <f>DO27*VLOOKUP('Données projet'!$B$14,Paramètres!$A$1:$I$89,3,0)*VLOOKUP('Données projet'!$B$14,Paramètres!$A$1:$I$89,5,0)</f>
        <v>65.301600000000008</v>
      </c>
      <c r="DQ27" s="13">
        <f t="shared" si="43"/>
        <v>18.502003309535596</v>
      </c>
      <c r="DR27" s="20">
        <f t="shared" si="16"/>
        <v>145.95794243077449</v>
      </c>
      <c r="DS27" s="59">
        <f t="shared" si="17"/>
        <v>439.29127576410781</v>
      </c>
      <c r="DT27" s="59">
        <f ca="1">AVERAGE(OFFSET($DS$3,0,0,'Données projet'!$E$14+1,1))-AVERAGE(OFFSET($H$3,0,0,'Données projet'!$E$14+1,1))</f>
        <v>308.80022073574963</v>
      </c>
      <c r="DU27" s="59">
        <f t="shared" si="44"/>
        <v>183.96267407004115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12.6</v>
      </c>
      <c r="EJ27" s="12">
        <f>IF('Données projet'!$A$192&gt;35,EJ26+EI27-ER26,IF(A27&lt;'Données projet'!$A$192,$EG$205^A27,IF(A27='Données projet'!$A$192,'Données projet'!$B$192,EJ26+EI27-ER26)))</f>
        <v>102.39999999999998</v>
      </c>
      <c r="EK27" s="17">
        <f>EJ27*VLOOKUP('Données projet'!$B$15,Paramètres!$A$1:$I$89,3,0)*VLOOKUP('Données projet'!$B$15,Paramètres!$A$1:$I$89,5,0)</f>
        <v>67.092479999999981</v>
      </c>
      <c r="EL27" s="13">
        <f t="shared" si="45"/>
        <v>18.949644838115674</v>
      </c>
      <c r="EM27" s="20">
        <f t="shared" si="19"/>
        <v>149.85670075971808</v>
      </c>
      <c r="EN27" s="59">
        <f t="shared" si="20"/>
        <v>443.19003409305139</v>
      </c>
      <c r="EO27" s="59">
        <f ca="1">AVERAGE(OFFSET($EN$3,0,0,'Données projet'!$E$15+1,1))-AVERAGE(OFFSET($H$3,0,0,'Données projet'!$E$15+1,1))</f>
        <v>178.71569711875242</v>
      </c>
      <c r="EP27" s="59">
        <f t="shared" si="46"/>
        <v>178.13848582064168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5.6</v>
      </c>
      <c r="FE27" s="12">
        <f>IF('Données projet'!$A$218&gt;35,FE26+FD27-FM26,IF(A27&lt;'Données projet'!$A$218,$FB$205^A27,IF(A27='Données projet'!$A$218,'Données projet'!$B$218,FE26+FD27-FM26)))</f>
        <v>64.400000000000006</v>
      </c>
      <c r="FF27" s="17">
        <f>FE27*VLOOKUP('Données projet'!$B$16,Paramètres!$A$1:$I$89,3,0)*VLOOKUP('Données projet'!$B$16,Paramètres!$A$1:$I$89,5,0)</f>
        <v>54.250560000000007</v>
      </c>
      <c r="FG27" s="13">
        <f t="shared" si="47"/>
        <v>15.706218631166928</v>
      </c>
      <c r="FH27" s="20">
        <f t="shared" si="22"/>
        <v>121.84138944928242</v>
      </c>
      <c r="FI27" s="59">
        <f t="shared" si="23"/>
        <v>415.17472278261573</v>
      </c>
      <c r="FJ27" s="59">
        <f ca="1">AVERAGE(OFFSET($FI$3,0,0,'Données projet'!$E$16+1,1))-AVERAGE(OFFSET($H$3,0,0,'Données projet'!$E$16+1,1))</f>
        <v>247.22536892257716</v>
      </c>
      <c r="FK27" s="59">
        <f t="shared" si="48"/>
        <v>147.97952262756075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6">
        <f t="shared" si="1"/>
        <v>321.50258098486643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163</v>
      </c>
      <c r="L28" s="12">
        <f>VLOOKUP(A28,'Données projet'!$A$35:$I$55,9,0)</f>
        <v>13.8</v>
      </c>
      <c r="M28" s="12">
        <f t="array" ref="M28">INDEX(L:L,MIN(IF(ISNUMBER(L28:L224),ROW(L28:L224),"")))</f>
        <v>13.8</v>
      </c>
      <c r="N28" s="13">
        <f>IF('Données projet'!$A$36&gt;35,N27+M28-V27,IF(A28&lt;'Données projet'!$A$36,$K$205^A28,IF(A28='Données projet'!$A$36,'Données projet'!$B$36,N27+M28-V27)))</f>
        <v>163.00000000000003</v>
      </c>
      <c r="O28" s="13">
        <f>N28*VLOOKUP('Données projet'!$B$9,Paramètres!$A$1:$I$89,3,0)*VLOOKUP('Données projet'!$B$9,Paramètres!$A$1:$I$89,5,0)</f>
        <v>142.39680000000004</v>
      </c>
      <c r="P28" s="13">
        <f t="shared" si="33"/>
        <v>36.845535084476985</v>
      </c>
      <c r="Q28" s="20">
        <f t="shared" si="2"/>
        <v>312.18040027213078</v>
      </c>
      <c r="R28" s="59">
        <f t="shared" si="0"/>
        <v>605.51373360546404</v>
      </c>
      <c r="S28" s="59">
        <f ca="1">AVERAGE(OFFSET($R$3,0,0,'Données projet'!$E$9+1,1))-AVERAGE(OFFSET($H$3,0,0,'Données projet'!$E$9+1,1))</f>
        <v>253.73326067725128</v>
      </c>
      <c r="T28" s="59">
        <f t="shared" si="34"/>
        <v>317.76427047458026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44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245</v>
      </c>
      <c r="AG28" s="12">
        <f>VLOOKUP(A28,'Données projet'!$A$61:$I$81,9,0)</f>
        <v>24</v>
      </c>
      <c r="AH28" s="12">
        <f t="array" ref="AH28">INDEX(AG:AG,MIN(IF(ISNUMBER(AG28:AG224),ROW(AG28:AG224),"")))</f>
        <v>24</v>
      </c>
      <c r="AI28" s="13">
        <f>IF('Données projet'!$A$62&gt;35,AI27+AH28-AQ27,IF(A28&lt;'Données projet'!$A$62,$AF$205^A28,IF(A28='Données projet'!$A$62,'Données projet'!$B$62,AI27+AH28-AQ27)))</f>
        <v>245</v>
      </c>
      <c r="AJ28" s="13">
        <f>AI28*VLOOKUP('Données projet'!$B$10,Paramètres!$A$1:$I$89,3,0)*VLOOKUP('Données projet'!$B$10,Paramètres!$A$1:$I$89,5,0)</f>
        <v>117.84500000000001</v>
      </c>
      <c r="AK28" s="13">
        <f t="shared" si="35"/>
        <v>31.171852064673686</v>
      </c>
      <c r="AL28" s="20">
        <f t="shared" si="4"/>
        <v>259.53768401264</v>
      </c>
      <c r="AM28" s="59">
        <f t="shared" si="5"/>
        <v>552.87101734597331</v>
      </c>
      <c r="AN28" s="59">
        <f ca="1">AVERAGE(OFFSET($AM$3,0,0,'Données projet'!$E$10+1,1))-AVERAGE(OFFSET($H$3,0,0,'Données projet'!$E$10+1,1))</f>
        <v>349.65790906807746</v>
      </c>
      <c r="AO28" s="59">
        <f t="shared" si="36"/>
        <v>291.88925884278888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63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0.55000000000000004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22.0223324062754</v>
      </c>
      <c r="AW28" s="21">
        <f>EXP(-LN(2)/2)*AW27+(1-EXP(-LN(2)/2))/(LN(2)/2)*AQ28*AT28*VLOOKUP('Données projet'!$B$10,Paramètres!$A$1:$I$89,3,0)*0.475*44/12</f>
        <v>0.2888197456169746</v>
      </c>
      <c r="AX28" s="21">
        <f t="shared" si="6"/>
        <v>22.311152151892376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141</v>
      </c>
      <c r="BB28" s="12">
        <f>VLOOKUP(A28,'Données projet'!$A$87:$I$107,9,0)</f>
        <v>14.8</v>
      </c>
      <c r="BC28" s="12">
        <f t="array" ref="BC28">INDEX(BB:BB,MIN(IF(ISNUMBER(BB28:BB224),ROW(BB28:BB224),"")))</f>
        <v>14.8</v>
      </c>
      <c r="BD28" s="12">
        <f>IF('Données projet'!$A$88&gt;35,BD27+BC28-BL27,IF(A28&lt;'Données projet'!$A$88,$BA$205^A28,IF(A28='Données projet'!$A$88,'Données projet'!$B$88,BD27+BC28-BL27)))</f>
        <v>140.99999999999997</v>
      </c>
      <c r="BE28" s="13">
        <f>BD28*VLOOKUP('Données projet'!$B$11,Paramètres!$A$1:$I$89,3,0)*VLOOKUP('Données projet'!$B$11,Paramètres!$A$1:$I$89,5,0)</f>
        <v>112.17959999999998</v>
      </c>
      <c r="BF28" s="13">
        <f t="shared" si="37"/>
        <v>29.8439274472838</v>
      </c>
      <c r="BG28" s="20">
        <f t="shared" si="7"/>
        <v>247.35764363735257</v>
      </c>
      <c r="BH28" s="59">
        <f t="shared" si="8"/>
        <v>540.69097697068582</v>
      </c>
      <c r="BI28" s="59">
        <f ca="1">AVERAGE(OFFSET($BH$3,0,0,'Données projet'!$E$11+1,1))-AVERAGE(OFFSET($H$3,0,0,'Données projet'!$E$11+1,1))</f>
        <v>279.49721661620544</v>
      </c>
      <c r="BJ28" s="59">
        <f t="shared" si="38"/>
        <v>275.18739333988754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35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115</v>
      </c>
      <c r="BW28" s="12">
        <f>VLOOKUP(A28,'Données projet'!$A$113:$I$133,9,0)</f>
        <v>12.6</v>
      </c>
      <c r="BX28" s="12">
        <f t="array" ref="BX28">INDEX(BW:BW,MIN(IF(ISNUMBER(BW28:BW224),ROW(BW28:BW224),"")))</f>
        <v>12.6</v>
      </c>
      <c r="BY28" s="12">
        <f>IF('Données projet'!$A$114&gt;35,BY27+BX28-CG27,IF(A28&lt;'Données projet'!$A$114,$BV$205^A28,IF(A28='Données projet'!$A$114,'Données projet'!$B$114,BY27+BX28-CG27)))</f>
        <v>114.99999999999997</v>
      </c>
      <c r="BZ28" s="13">
        <f>BY28*VLOOKUP('Données projet'!$B$12,Paramètres!$A$1:$I$89,3,0)*VLOOKUP('Données projet'!$B$12,Paramètres!$A$1:$I$89,5,0)</f>
        <v>111.22799999999998</v>
      </c>
      <c r="CA28" s="13">
        <f t="shared" si="39"/>
        <v>29.620123744783804</v>
      </c>
      <c r="CB28" s="20">
        <f t="shared" si="10"/>
        <v>245.31048218883168</v>
      </c>
      <c r="CC28" s="59">
        <f t="shared" si="11"/>
        <v>538.64381552216503</v>
      </c>
      <c r="CD28" s="59">
        <f ca="1">AVERAGE(OFFSET($CC$3,0,0,'Données projet'!$E$12+1,1))-AVERAGE(OFFSET($H$3,0,0,'Données projet'!$E$12+1,1))</f>
        <v>281.84871057356037</v>
      </c>
      <c r="CE28" s="59">
        <f t="shared" si="40"/>
        <v>276.02211904126887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28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141</v>
      </c>
      <c r="CR28" s="12">
        <f>VLOOKUP(A28,'Données projet'!$A$139:$I$159,9,0)</f>
        <v>14.8</v>
      </c>
      <c r="CS28" s="12">
        <f t="array" ref="CS28">INDEX(CR:CR,MIN(IF(ISNUMBER(CR28:CR224),ROW(CR28:CR224),"")))</f>
        <v>14.8</v>
      </c>
      <c r="CT28" s="12">
        <f>IF('Données projet'!$A$140&gt;35,CT27+CS28-DB27,IF(A28&lt;'Données projet'!$A$140,$CQ$205^A28,IF(A28='Données projet'!$A$140,'Données projet'!$B$140,CT27+CS28-DB27)))</f>
        <v>140.99999999999997</v>
      </c>
      <c r="CU28" s="17">
        <f>CT28*VLOOKUP('Données projet'!$B$13,Paramètres!$A$1:$I$89,3,0)*VLOOKUP('Données projet'!$B$13,Paramètres!$A$1:$I$89,5,0)</f>
        <v>112.17959999999998</v>
      </c>
      <c r="CV28" s="13">
        <f t="shared" si="41"/>
        <v>29.8439274472838</v>
      </c>
      <c r="CW28" s="20">
        <f t="shared" si="13"/>
        <v>247.35764363735257</v>
      </c>
      <c r="CX28" s="59">
        <f t="shared" si="14"/>
        <v>540.69097697068582</v>
      </c>
      <c r="CY28" s="59">
        <f ca="1">AVERAGE(OFFSET($CX$3,0,0,'Données projet'!$E$13+1,1))-AVERAGE(OFFSET($H$3,0,0,'Données projet'!$E$13+1,1))</f>
        <v>279.49721661620544</v>
      </c>
      <c r="CZ28" s="59">
        <f t="shared" si="42"/>
        <v>275.18739333988754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35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>
        <f>VLOOKUP(A28,'Données projet'!$A$165:$I$185,2,0)</f>
        <v>70</v>
      </c>
      <c r="DM28" s="12">
        <f>VLOOKUP(A28,'Données projet'!$A$165:$I$185,9,0)</f>
        <v>5.6</v>
      </c>
      <c r="DN28" s="12">
        <f t="array" ref="DN28">INDEX(DM:DM,MIN(IF(ISNUMBER(DM28:DM224),ROW(DM28:DM224),"")))</f>
        <v>5.6</v>
      </c>
      <c r="DO28" s="12">
        <f>IF('Données projet'!$A$166&gt;35,DO27+DN28-DW27,IF(A28&lt;'Données projet'!$A$166,$DL$205^A28,IF(A28='Données projet'!$A$166,'Données projet'!$B$166,DO27+DN28-DW27)))</f>
        <v>70</v>
      </c>
      <c r="DP28" s="17">
        <f>DO28*VLOOKUP('Données projet'!$B$14,Paramètres!$A$1:$I$89,3,0)*VLOOKUP('Données projet'!$B$14,Paramètres!$A$1:$I$89,5,0)</f>
        <v>70.98</v>
      </c>
      <c r="DQ28" s="13">
        <f t="shared" si="43"/>
        <v>19.916628839746853</v>
      </c>
      <c r="DR28" s="20">
        <f t="shared" si="16"/>
        <v>158.31162856255909</v>
      </c>
      <c r="DS28" s="59">
        <f t="shared" si="17"/>
        <v>451.64496189589238</v>
      </c>
      <c r="DT28" s="59">
        <f ca="1">AVERAGE(OFFSET($DS$3,0,0,'Données projet'!$E$14+1,1))-AVERAGE(OFFSET($H$3,0,0,'Données projet'!$E$14+1,1))</f>
        <v>308.80022073574963</v>
      </c>
      <c r="DU28" s="59">
        <f t="shared" si="44"/>
        <v>183.96267407004115</v>
      </c>
      <c r="DV28" s="15">
        <f>IF(ISNA(VLOOKUP(A28,'Données projet'!$A$165:$I$185,3,0)),0,VLOOKUP(A28,'Données projet'!$A$165:$I$185,3,0))</f>
        <v>1</v>
      </c>
      <c r="DW28" s="15">
        <f>IF(ISNA(VLOOKUP(A28,'Données projet'!$A$165:$I$185,4,0)),0,VLOOKUP(A28,'Données projet'!$A$165:$I$185,4,0))</f>
        <v>8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>
        <f>VLOOKUP(A28,'Données projet'!$A$191:$I$211,2,0)</f>
        <v>115</v>
      </c>
      <c r="EH28" s="12">
        <f>VLOOKUP(A28,'Données projet'!$A$191:$I$211,9,0)</f>
        <v>12.6</v>
      </c>
      <c r="EI28" s="12">
        <f t="array" ref="EI28">INDEX(EH:EH,MIN(IF(ISNUMBER(EH28:EH224),ROW(EH28:EH224),"")))</f>
        <v>12.6</v>
      </c>
      <c r="EJ28" s="12">
        <f>IF('Données projet'!$A$192&gt;35,EJ27+EI28-ER27,IF(A28&lt;'Données projet'!$A$192,$EG$205^A28,IF(A28='Données projet'!$A$192,'Données projet'!$B$192,EJ27+EI28-ER27)))</f>
        <v>114.99999999999997</v>
      </c>
      <c r="EK28" s="17">
        <f>EJ28*VLOOKUP('Données projet'!$B$15,Paramètres!$A$1:$I$89,3,0)*VLOOKUP('Données projet'!$B$15,Paramètres!$A$1:$I$89,5,0)</f>
        <v>75.347999999999971</v>
      </c>
      <c r="EL28" s="13">
        <f t="shared" si="45"/>
        <v>20.99581051771704</v>
      </c>
      <c r="EM28" s="20">
        <f t="shared" si="19"/>
        <v>167.79880331835713</v>
      </c>
      <c r="EN28" s="59">
        <f t="shared" si="20"/>
        <v>461.13213665169042</v>
      </c>
      <c r="EO28" s="59">
        <f ca="1">AVERAGE(OFFSET($EN$3,0,0,'Données projet'!$E$15+1,1))-AVERAGE(OFFSET($H$3,0,0,'Données projet'!$E$15+1,1))</f>
        <v>178.71569711875242</v>
      </c>
      <c r="EP28" s="59">
        <f t="shared" si="46"/>
        <v>178.13848582064168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28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>
        <f>VLOOKUP(A28,'Données projet'!$A$217:$I$237,2,0)</f>
        <v>70</v>
      </c>
      <c r="FC28" s="12">
        <f>VLOOKUP(A28,'Données projet'!$A$217:$I$237,9,0)</f>
        <v>5.6</v>
      </c>
      <c r="FD28" s="12">
        <f t="array" ref="FD28">INDEX(FC:FC,MIN(IF(ISNUMBER(FC28:FC224),ROW(FC28:FC224),"")))</f>
        <v>5.6</v>
      </c>
      <c r="FE28" s="12">
        <f>IF('Données projet'!$A$218&gt;35,FE27+FD28-FM27,IF(A28&lt;'Données projet'!$A$218,$FB$205^A28,IF(A28='Données projet'!$A$218,'Données projet'!$B$218,FE27+FD28-FM27)))</f>
        <v>70</v>
      </c>
      <c r="FF28" s="17">
        <f>FE28*VLOOKUP('Données projet'!$B$16,Paramètres!$A$1:$I$89,3,0)*VLOOKUP('Données projet'!$B$16,Paramètres!$A$1:$I$89,5,0)</f>
        <v>58.968000000000011</v>
      </c>
      <c r="FG28" s="13">
        <f t="shared" si="47"/>
        <v>16.907084152971134</v>
      </c>
      <c r="FH28" s="20">
        <f t="shared" si="22"/>
        <v>132.14910489975807</v>
      </c>
      <c r="FI28" s="59">
        <f t="shared" si="23"/>
        <v>425.48243823309139</v>
      </c>
      <c r="FJ28" s="59">
        <f ca="1">AVERAGE(OFFSET($FI$3,0,0,'Données projet'!$E$16+1,1))-AVERAGE(OFFSET($H$3,0,0,'Données projet'!$E$16+1,1))</f>
        <v>247.22536892257716</v>
      </c>
      <c r="FK28" s="59">
        <f t="shared" si="48"/>
        <v>147.97952262756075</v>
      </c>
      <c r="FL28" s="15">
        <f>IF(ISNA(VLOOKUP(A28,'Données projet'!$A$217:$I$237,3,0)),0,VLOOKUP(A28,'Données projet'!$A$217:$I$237,3,0))</f>
        <v>1</v>
      </c>
      <c r="FM28" s="15">
        <f>IF(ISNA(VLOOKUP(A28,'Données projet'!$A$217:$I$237,4,0)),0,VLOOKUP(A28,'Données projet'!$A$217:$I$237,4,0))</f>
        <v>8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6">
        <f t="shared" si="1"/>
        <v>322.59512213389104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13</v>
      </c>
      <c r="N29" s="13">
        <f>IF('Données projet'!$A$36&gt;35,N28+M29-V28,IF(A29&lt;'Données projet'!$A$36,$K$205^A29,IF(A29='Données projet'!$A$36,'Données projet'!$B$36,N28+M29-V28)))</f>
        <v>132.00000000000003</v>
      </c>
      <c r="O29" s="13">
        <f>N29*VLOOKUP('Données projet'!$B$9,Paramètres!$A$1:$I$89,3,0)*VLOOKUP('Données projet'!$B$9,Paramètres!$A$1:$I$89,5,0)</f>
        <v>115.31520000000003</v>
      </c>
      <c r="P29" s="13">
        <f t="shared" si="33"/>
        <v>30.579827148797317</v>
      </c>
      <c r="Q29" s="20">
        <f t="shared" si="2"/>
        <v>254.10050561748869</v>
      </c>
      <c r="R29" s="59">
        <f t="shared" si="0"/>
        <v>547.43383895082206</v>
      </c>
      <c r="S29" s="59">
        <f ca="1">AVERAGE(OFFSET($R$3,0,0,'Données projet'!$E$9+1,1))-AVERAGE(OFFSET($H$3,0,0,'Données projet'!$E$9+1,1))</f>
        <v>253.73326067725128</v>
      </c>
      <c r="T29" s="59">
        <f t="shared" si="34"/>
        <v>317.76427047458026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25.4</v>
      </c>
      <c r="AI29" s="13">
        <f>IF('Données projet'!$A$62&gt;35,AI28+AH29-AQ28,IF(A29&lt;'Données projet'!$A$62,$AF$205^A29,IF(A29='Données projet'!$A$62,'Données projet'!$B$62,AI28+AH29-AQ28)))</f>
        <v>207.39999999999998</v>
      </c>
      <c r="AJ29" s="13">
        <f>AI29*VLOOKUP('Données projet'!$B$10,Paramètres!$A$1:$I$89,3,0)*VLOOKUP('Données projet'!$B$10,Paramètres!$A$1:$I$89,5,0)</f>
        <v>99.759399999999985</v>
      </c>
      <c r="AK29" s="13">
        <f t="shared" si="35"/>
        <v>26.904669882525962</v>
      </c>
      <c r="AL29" s="20">
        <f t="shared" si="4"/>
        <v>220.60658837873268</v>
      </c>
      <c r="AM29" s="59">
        <f t="shared" si="5"/>
        <v>513.93992171206605</v>
      </c>
      <c r="AN29" s="59">
        <f ca="1">AVERAGE(OFFSET($AM$3,0,0,'Données projet'!$E$10+1,1))-AVERAGE(OFFSET($H$3,0,0,'Données projet'!$E$10+1,1))</f>
        <v>349.65790906807746</v>
      </c>
      <c r="AO29" s="59">
        <f t="shared" si="36"/>
        <v>291.88925884278888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21.420130568521671</v>
      </c>
      <c r="AW29" s="21">
        <f>EXP(-LN(2)/2)*AW28+(1-EXP(-LN(2)/2))/(LN(2)/2)*AQ29*AT29*VLOOKUP('Données projet'!$B$10,Paramètres!$A$1:$I$89,3,0)*0.475*44/12</f>
        <v>0.20422640066633638</v>
      </c>
      <c r="AX29" s="21">
        <f t="shared" si="6"/>
        <v>21.624356969188007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14.2</v>
      </c>
      <c r="BD29" s="12">
        <f>IF('Données projet'!$A$88&gt;35,BD28+BC29-BL28,IF(A29&lt;'Données projet'!$A$88,$BA$205^A29,IF(A29='Données projet'!$A$88,'Données projet'!$B$88,BD28+BC29-BL28)))</f>
        <v>120.19999999999996</v>
      </c>
      <c r="BE29" s="13">
        <f>BD29*VLOOKUP('Données projet'!$B$11,Paramètres!$A$1:$I$89,3,0)*VLOOKUP('Données projet'!$B$11,Paramètres!$A$1:$I$89,5,0)</f>
        <v>95.631119999999967</v>
      </c>
      <c r="BF29" s="13">
        <f t="shared" si="37"/>
        <v>25.918481589892234</v>
      </c>
      <c r="BG29" s="20">
        <f t="shared" si="7"/>
        <v>211.69888943572892</v>
      </c>
      <c r="BH29" s="59">
        <f t="shared" si="8"/>
        <v>505.03222276906223</v>
      </c>
      <c r="BI29" s="59">
        <f ca="1">AVERAGE(OFFSET($BH$3,0,0,'Données projet'!$E$11+1,1))-AVERAGE(OFFSET($H$3,0,0,'Données projet'!$E$11+1,1))</f>
        <v>279.49721661620544</v>
      </c>
      <c r="BJ29" s="59">
        <f t="shared" si="38"/>
        <v>275.18739333988754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11.8</v>
      </c>
      <c r="BY29" s="12">
        <f>IF('Données projet'!$A$114&gt;35,BY28+BX29-CG28,IF(A29&lt;'Données projet'!$A$114,$BV$205^A29,IF(A29='Données projet'!$A$114,'Données projet'!$B$114,BY28+BX29-CG28)))</f>
        <v>98.799999999999969</v>
      </c>
      <c r="BZ29" s="13">
        <f>BY29*VLOOKUP('Données projet'!$B$12,Paramètres!$A$1:$I$89,3,0)*VLOOKUP('Données projet'!$B$12,Paramètres!$A$1:$I$89,5,0)</f>
        <v>95.55935999999997</v>
      </c>
      <c r="CA29" s="13">
        <f t="shared" si="39"/>
        <v>25.901295882154653</v>
      </c>
      <c r="CB29" s="20">
        <f t="shared" si="10"/>
        <v>211.5439756614193</v>
      </c>
      <c r="CC29" s="59">
        <f t="shared" si="11"/>
        <v>504.87730899475264</v>
      </c>
      <c r="CD29" s="59">
        <f ca="1">AVERAGE(OFFSET($CC$3,0,0,'Données projet'!$E$12+1,1))-AVERAGE(OFFSET($H$3,0,0,'Données projet'!$E$12+1,1))</f>
        <v>281.84871057356037</v>
      </c>
      <c r="CE29" s="59">
        <f t="shared" si="40"/>
        <v>276.02211904126887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14.2</v>
      </c>
      <c r="CT29" s="12">
        <f>IF('Données projet'!$A$140&gt;35,CT28+CS29-DB28,IF(A29&lt;'Données projet'!$A$140,$CQ$205^A29,IF(A29='Données projet'!$A$140,'Données projet'!$B$140,CT28+CS29-DB28)))</f>
        <v>120.19999999999996</v>
      </c>
      <c r="CU29" s="17">
        <f>CT29*VLOOKUP('Données projet'!$B$13,Paramètres!$A$1:$I$89,3,0)*VLOOKUP('Données projet'!$B$13,Paramètres!$A$1:$I$89,5,0)</f>
        <v>95.631119999999967</v>
      </c>
      <c r="CV29" s="13">
        <f t="shared" si="41"/>
        <v>25.918481589892234</v>
      </c>
      <c r="CW29" s="20">
        <f t="shared" si="13"/>
        <v>211.69888943572892</v>
      </c>
      <c r="CX29" s="59">
        <f t="shared" si="14"/>
        <v>505.03222276906223</v>
      </c>
      <c r="CY29" s="59">
        <f ca="1">AVERAGE(OFFSET($CX$3,0,0,'Données projet'!$E$13+1,1))-AVERAGE(OFFSET($H$3,0,0,'Données projet'!$E$13+1,1))</f>
        <v>279.49721661620544</v>
      </c>
      <c r="CZ29" s="59">
        <f t="shared" si="42"/>
        <v>275.18739333988754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7</v>
      </c>
      <c r="DO29" s="12">
        <f>IF('Données projet'!$A$166&gt;35,DO28+DN29-DW28,IF(A29&lt;'Données projet'!$A$166,$DL$205^A29,IF(A29='Données projet'!$A$166,'Données projet'!$B$166,DO28+DN29-DW28)))</f>
        <v>69</v>
      </c>
      <c r="DP29" s="17">
        <f>DO29*VLOOKUP('Données projet'!$B$14,Paramètres!$A$1:$I$89,3,0)*VLOOKUP('Données projet'!$B$14,Paramètres!$A$1:$I$89,5,0)</f>
        <v>69.966000000000008</v>
      </c>
      <c r="DQ29" s="13">
        <f t="shared" si="43"/>
        <v>19.665013934342461</v>
      </c>
      <c r="DR29" s="20">
        <f t="shared" si="16"/>
        <v>156.10734926897979</v>
      </c>
      <c r="DS29" s="59">
        <f t="shared" si="17"/>
        <v>449.44068260231313</v>
      </c>
      <c r="DT29" s="59">
        <f ca="1">AVERAGE(OFFSET($DS$3,0,0,'Données projet'!$E$14+1,1))-AVERAGE(OFFSET($H$3,0,0,'Données projet'!$E$14+1,1))</f>
        <v>308.80022073574963</v>
      </c>
      <c r="DU29" s="59">
        <f t="shared" si="44"/>
        <v>183.96267407004115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11.8</v>
      </c>
      <c r="EJ29" s="12">
        <f>IF('Données projet'!$A$192&gt;35,EJ28+EI29-ER28,IF(A29&lt;'Données projet'!$A$192,$EG$205^A29,IF(A29='Données projet'!$A$192,'Données projet'!$B$192,EJ28+EI29-ER28)))</f>
        <v>98.799999999999969</v>
      </c>
      <c r="EK29" s="17">
        <f>EJ29*VLOOKUP('Données projet'!$B$15,Paramètres!$A$1:$I$89,3,0)*VLOOKUP('Données projet'!$B$15,Paramètres!$A$1:$I$89,5,0)</f>
        <v>64.73375999999999</v>
      </c>
      <c r="EL29" s="13">
        <f t="shared" si="45"/>
        <v>18.359771390246543</v>
      </c>
      <c r="EM29" s="20">
        <f t="shared" si="19"/>
        <v>144.72123383801272</v>
      </c>
      <c r="EN29" s="59">
        <f t="shared" si="20"/>
        <v>438.05456717134604</v>
      </c>
      <c r="EO29" s="59">
        <f ca="1">AVERAGE(OFFSET($EN$3,0,0,'Données projet'!$E$15+1,1))-AVERAGE(OFFSET($H$3,0,0,'Données projet'!$E$15+1,1))</f>
        <v>178.71569711875242</v>
      </c>
      <c r="EP29" s="59">
        <f t="shared" si="46"/>
        <v>178.13848582064168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7</v>
      </c>
      <c r="FE29" s="12">
        <f>IF('Données projet'!$A$218&gt;35,FE28+FD29-FM28,IF(A29&lt;'Données projet'!$A$218,$FB$205^A29,IF(A29='Données projet'!$A$218,'Données projet'!$B$218,FE28+FD29-FM28)))</f>
        <v>69</v>
      </c>
      <c r="FF29" s="17">
        <f>FE29*VLOOKUP('Données projet'!$B$16,Paramètres!$A$1:$I$89,3,0)*VLOOKUP('Données projet'!$B$16,Paramètres!$A$1:$I$89,5,0)</f>
        <v>58.125600000000013</v>
      </c>
      <c r="FG29" s="13">
        <f t="shared" si="47"/>
        <v>16.693490054590175</v>
      </c>
      <c r="FH29" s="20">
        <f t="shared" si="22"/>
        <v>130.30991517841125</v>
      </c>
      <c r="FI29" s="59">
        <f t="shared" si="23"/>
        <v>423.64324851174456</v>
      </c>
      <c r="FJ29" s="59">
        <f ca="1">AVERAGE(OFFSET($FI$3,0,0,'Données projet'!$E$16+1,1))-AVERAGE(OFFSET($H$3,0,0,'Données projet'!$E$16+1,1))</f>
        <v>247.22536892257716</v>
      </c>
      <c r="FK29" s="59">
        <f t="shared" si="48"/>
        <v>147.97952262756075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6">
        <f t="shared" si="1"/>
        <v>323.68652481841508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13</v>
      </c>
      <c r="N30" s="13">
        <f>IF('Données projet'!$A$36&gt;35,N29+M30-V29,IF(A30&lt;'Données projet'!$A$36,$K$205^A30,IF(A30='Données projet'!$A$36,'Données projet'!$B$36,N29+M30-V29)))</f>
        <v>145.00000000000003</v>
      </c>
      <c r="O30" s="13">
        <f>N30*VLOOKUP('Données projet'!$B$9,Paramètres!$A$1:$I$89,3,0)*VLOOKUP('Données projet'!$B$9,Paramètres!$A$1:$I$89,5,0)</f>
        <v>126.67200000000003</v>
      </c>
      <c r="P30" s="13">
        <f t="shared" si="33"/>
        <v>33.226199426361347</v>
      </c>
      <c r="Q30" s="20">
        <f t="shared" si="2"/>
        <v>278.48936400091276</v>
      </c>
      <c r="R30" s="59">
        <f t="shared" si="0"/>
        <v>571.82269733424607</v>
      </c>
      <c r="S30" s="59">
        <f ca="1">AVERAGE(OFFSET($R$3,0,0,'Données projet'!$E$9+1,1))-AVERAGE(OFFSET($H$3,0,0,'Données projet'!$E$9+1,1))</f>
        <v>253.73326067725128</v>
      </c>
      <c r="T30" s="59">
        <f t="shared" si="34"/>
        <v>317.76427047458026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25.4</v>
      </c>
      <c r="AI30" s="13">
        <f>IF('Données projet'!$A$62&gt;35,AI29+AH30-AQ29,IF(A30&lt;'Données projet'!$A$62,$AF$205^A30,IF(A30='Données projet'!$A$62,'Données projet'!$B$62,AI29+AH30-AQ29)))</f>
        <v>232.79999999999998</v>
      </c>
      <c r="AJ30" s="13">
        <f>AI30*VLOOKUP('Données projet'!$B$10,Paramètres!$A$1:$I$89,3,0)*VLOOKUP('Données projet'!$B$10,Paramètres!$A$1:$I$89,5,0)</f>
        <v>111.9768</v>
      </c>
      <c r="AK30" s="13">
        <f t="shared" si="35"/>
        <v>29.796250167500418</v>
      </c>
      <c r="AL30" s="20">
        <f t="shared" si="4"/>
        <v>246.92139570839652</v>
      </c>
      <c r="AM30" s="59">
        <f t="shared" si="5"/>
        <v>540.25472904172989</v>
      </c>
      <c r="AN30" s="59">
        <f ca="1">AVERAGE(OFFSET($AM$3,0,0,'Données projet'!$E$10+1,1))-AVERAGE(OFFSET($H$3,0,0,'Données projet'!$E$10+1,1))</f>
        <v>349.65790906807746</v>
      </c>
      <c r="AO30" s="59">
        <f t="shared" si="36"/>
        <v>291.88925884278888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20.834395971689737</v>
      </c>
      <c r="AW30" s="21">
        <f>EXP(-LN(2)/2)*AW29+(1-EXP(-LN(2)/2))/(LN(2)/2)*AQ30*AT30*VLOOKUP('Données projet'!$B$10,Paramètres!$A$1:$I$89,3,0)*0.475*44/12</f>
        <v>0.1444098728084873</v>
      </c>
      <c r="AX30" s="21">
        <f t="shared" si="6"/>
        <v>20.978805844498225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14.2</v>
      </c>
      <c r="BD30" s="12">
        <f>IF('Données projet'!$A$88&gt;35,BD29+BC30-BL29,IF(A30&lt;'Données projet'!$A$88,$BA$205^A30,IF(A30='Données projet'!$A$88,'Données projet'!$B$88,BD29+BC30-BL29)))</f>
        <v>134.39999999999995</v>
      </c>
      <c r="BE30" s="13">
        <f>BD30*VLOOKUP('Données projet'!$B$11,Paramètres!$A$1:$I$89,3,0)*VLOOKUP('Données projet'!$B$11,Paramètres!$A$1:$I$89,5,0)</f>
        <v>106.92863999999996</v>
      </c>
      <c r="BF30" s="13">
        <f t="shared" si="37"/>
        <v>28.606159868782917</v>
      </c>
      <c r="BG30" s="20">
        <f t="shared" si="7"/>
        <v>236.05644310479681</v>
      </c>
      <c r="BH30" s="59">
        <f t="shared" si="8"/>
        <v>529.38977643813018</v>
      </c>
      <c r="BI30" s="59">
        <f ca="1">AVERAGE(OFFSET($BH$3,0,0,'Données projet'!$E$11+1,1))-AVERAGE(OFFSET($H$3,0,0,'Données projet'!$E$11+1,1))</f>
        <v>279.49721661620544</v>
      </c>
      <c r="BJ30" s="59">
        <f t="shared" si="38"/>
        <v>275.18739333988754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11.8</v>
      </c>
      <c r="BY30" s="12">
        <f>IF('Données projet'!$A$114&gt;35,BY29+BX30-CG29,IF(A30&lt;'Données projet'!$A$114,$BV$205^A30,IF(A30='Données projet'!$A$114,'Données projet'!$B$114,BY29+BX30-CG29)))</f>
        <v>110.59999999999997</v>
      </c>
      <c r="BZ30" s="13">
        <f>BY30*VLOOKUP('Données projet'!$B$12,Paramètres!$A$1:$I$89,3,0)*VLOOKUP('Données projet'!$B$12,Paramètres!$A$1:$I$89,5,0)</f>
        <v>106.97231999999997</v>
      </c>
      <c r="CA30" s="13">
        <f t="shared" si="39"/>
        <v>28.61648495130633</v>
      </c>
      <c r="CB30" s="20">
        <f t="shared" si="10"/>
        <v>236.15050195685842</v>
      </c>
      <c r="CC30" s="59">
        <f t="shared" si="11"/>
        <v>529.48383529019179</v>
      </c>
      <c r="CD30" s="59">
        <f ca="1">AVERAGE(OFFSET($CC$3,0,0,'Données projet'!$E$12+1,1))-AVERAGE(OFFSET($H$3,0,0,'Données projet'!$E$12+1,1))</f>
        <v>281.84871057356037</v>
      </c>
      <c r="CE30" s="59">
        <f t="shared" si="40"/>
        <v>276.02211904126887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14.2</v>
      </c>
      <c r="CT30" s="12">
        <f>IF('Données projet'!$A$140&gt;35,CT29+CS30-DB29,IF(A30&lt;'Données projet'!$A$140,$CQ$205^A30,IF(A30='Données projet'!$A$140,'Données projet'!$B$140,CT29+CS30-DB29)))</f>
        <v>134.39999999999995</v>
      </c>
      <c r="CU30" s="17">
        <f>CT30*VLOOKUP('Données projet'!$B$13,Paramètres!$A$1:$I$89,3,0)*VLOOKUP('Données projet'!$B$13,Paramètres!$A$1:$I$89,5,0)</f>
        <v>106.92863999999996</v>
      </c>
      <c r="CV30" s="13">
        <f t="shared" si="41"/>
        <v>28.606159868782917</v>
      </c>
      <c r="CW30" s="20">
        <f t="shared" si="13"/>
        <v>236.05644310479681</v>
      </c>
      <c r="CX30" s="59">
        <f t="shared" si="14"/>
        <v>529.38977643813018</v>
      </c>
      <c r="CY30" s="59">
        <f ca="1">AVERAGE(OFFSET($CX$3,0,0,'Données projet'!$E$13+1,1))-AVERAGE(OFFSET($H$3,0,0,'Données projet'!$E$13+1,1))</f>
        <v>279.49721661620544</v>
      </c>
      <c r="CZ30" s="59">
        <f t="shared" si="42"/>
        <v>275.18739333988754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7</v>
      </c>
      <c r="DO30" s="12">
        <f>IF('Données projet'!$A$166&gt;35,DO29+DN30-DW29,IF(A30&lt;'Données projet'!$A$166,$DL$205^A30,IF(A30='Données projet'!$A$166,'Données projet'!$B$166,DO29+DN30-DW29)))</f>
        <v>76</v>
      </c>
      <c r="DP30" s="17">
        <f>DO30*VLOOKUP('Données projet'!$B$14,Paramètres!$A$1:$I$89,3,0)*VLOOKUP('Données projet'!$B$14,Paramètres!$A$1:$I$89,5,0)</f>
        <v>77.064000000000007</v>
      </c>
      <c r="DQ30" s="13">
        <f t="shared" si="43"/>
        <v>21.417762186678065</v>
      </c>
      <c r="DR30" s="20">
        <f t="shared" si="16"/>
        <v>171.52240247513097</v>
      </c>
      <c r="DS30" s="59">
        <f t="shared" si="17"/>
        <v>464.85573580846426</v>
      </c>
      <c r="DT30" s="59">
        <f ca="1">AVERAGE(OFFSET($DS$3,0,0,'Données projet'!$E$14+1,1))-AVERAGE(OFFSET($H$3,0,0,'Données projet'!$E$14+1,1))</f>
        <v>308.80022073574963</v>
      </c>
      <c r="DU30" s="59">
        <f t="shared" si="44"/>
        <v>183.96267407004115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11.8</v>
      </c>
      <c r="EJ30" s="12">
        <f>IF('Données projet'!$A$192&gt;35,EJ29+EI30-ER29,IF(A30&lt;'Données projet'!$A$192,$EG$205^A30,IF(A30='Données projet'!$A$192,'Données projet'!$B$192,EJ29+EI30-ER29)))</f>
        <v>110.59999999999997</v>
      </c>
      <c r="EK30" s="17">
        <f>EJ30*VLOOKUP('Données projet'!$B$15,Paramètres!$A$1:$I$89,3,0)*VLOOKUP('Données projet'!$B$15,Paramètres!$A$1:$I$89,5,0)</f>
        <v>72.46511999999997</v>
      </c>
      <c r="EL30" s="13">
        <f t="shared" si="45"/>
        <v>20.284395193539197</v>
      </c>
      <c r="EM30" s="20">
        <f t="shared" si="19"/>
        <v>161.53873896208071</v>
      </c>
      <c r="EN30" s="59">
        <f t="shared" si="20"/>
        <v>454.872072295414</v>
      </c>
      <c r="EO30" s="59">
        <f ca="1">AVERAGE(OFFSET($EN$3,0,0,'Données projet'!$E$15+1,1))-AVERAGE(OFFSET($H$3,0,0,'Données projet'!$E$15+1,1))</f>
        <v>178.71569711875242</v>
      </c>
      <c r="EP30" s="59">
        <f t="shared" si="46"/>
        <v>178.13848582064168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7</v>
      </c>
      <c r="FE30" s="12">
        <f>IF('Données projet'!$A$218&gt;35,FE29+FD30-FM29,IF(A30&lt;'Données projet'!$A$218,$FB$205^A30,IF(A30='Données projet'!$A$218,'Données projet'!$B$218,FE29+FD30-FM29)))</f>
        <v>76</v>
      </c>
      <c r="FF30" s="17">
        <f>FE30*VLOOKUP('Données projet'!$B$16,Paramètres!$A$1:$I$89,3,0)*VLOOKUP('Données projet'!$B$16,Paramètres!$A$1:$I$89,5,0)</f>
        <v>64.022400000000019</v>
      </c>
      <c r="FG30" s="13">
        <f t="shared" si="47"/>
        <v>18.181385543312242</v>
      </c>
      <c r="FH30" s="20">
        <f t="shared" si="22"/>
        <v>143.17159315460219</v>
      </c>
      <c r="FI30" s="59">
        <f t="shared" si="23"/>
        <v>436.50492648793551</v>
      </c>
      <c r="FJ30" s="59">
        <f ca="1">AVERAGE(OFFSET($FI$3,0,0,'Données projet'!$E$16+1,1))-AVERAGE(OFFSET($H$3,0,0,'Données projet'!$E$16+1,1))</f>
        <v>247.22536892257716</v>
      </c>
      <c r="FK30" s="59">
        <f t="shared" si="48"/>
        <v>147.97952262756075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6">
        <f t="shared" si="1"/>
        <v>324.77683603237602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13</v>
      </c>
      <c r="N31" s="13">
        <f>IF('Données projet'!$A$36&gt;35,N30+M31-V30,IF(A31&lt;'Données projet'!$A$36,$K$205^A31,IF(A31='Données projet'!$A$36,'Données projet'!$B$36,N30+M31-V30)))</f>
        <v>158.00000000000003</v>
      </c>
      <c r="O31" s="13">
        <f>N31*VLOOKUP('Données projet'!$B$9,Paramètres!$A$1:$I$89,3,0)*VLOOKUP('Données projet'!$B$9,Paramètres!$A$1:$I$89,5,0)</f>
        <v>138.02880000000005</v>
      </c>
      <c r="P31" s="13">
        <f t="shared" si="33"/>
        <v>35.845059256813073</v>
      </c>
      <c r="Q31" s="20">
        <f t="shared" si="2"/>
        <v>302.83030487228285</v>
      </c>
      <c r="R31" s="59">
        <f t="shared" si="0"/>
        <v>596.16363820561617</v>
      </c>
      <c r="S31" s="59">
        <f ca="1">AVERAGE(OFFSET($R$3,0,0,'Données projet'!$E$9+1,1))-AVERAGE(OFFSET($H$3,0,0,'Données projet'!$E$9+1,1))</f>
        <v>253.73326067725128</v>
      </c>
      <c r="T31" s="59">
        <f t="shared" si="34"/>
        <v>317.76427047458026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25.4</v>
      </c>
      <c r="AI31" s="13">
        <f>IF('Données projet'!$A$62&gt;35,AI30+AH31-AQ30,IF(A31&lt;'Données projet'!$A$62,$AF$205^A31,IF(A31='Données projet'!$A$62,'Données projet'!$B$62,AI30+AH31-AQ30)))</f>
        <v>258.2</v>
      </c>
      <c r="AJ31" s="13">
        <f>AI31*VLOOKUP('Données projet'!$B$10,Paramètres!$A$1:$I$89,3,0)*VLOOKUP('Données projet'!$B$10,Paramètres!$A$1:$I$89,5,0)</f>
        <v>124.1942</v>
      </c>
      <c r="AK31" s="13">
        <f t="shared" si="35"/>
        <v>32.65126308183558</v>
      </c>
      <c r="AL31" s="20">
        <f t="shared" si="4"/>
        <v>273.17251486753031</v>
      </c>
      <c r="AM31" s="59">
        <f t="shared" si="5"/>
        <v>566.50584820086362</v>
      </c>
      <c r="AN31" s="59">
        <f ca="1">AVERAGE(OFFSET($AM$3,0,0,'Données projet'!$E$10+1,1))-AVERAGE(OFFSET($H$3,0,0,'Données projet'!$E$10+1,1))</f>
        <v>349.65790906807746</v>
      </c>
      <c r="AO31" s="59">
        <f t="shared" si="36"/>
        <v>291.88925884278888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20.264678318210613</v>
      </c>
      <c r="AW31" s="21">
        <f>EXP(-LN(2)/2)*AW30+(1-EXP(-LN(2)/2))/(LN(2)/2)*AQ31*AT31*VLOOKUP('Données projet'!$B$10,Paramètres!$A$1:$I$89,3,0)*0.475*44/12</f>
        <v>0.10211320033316819</v>
      </c>
      <c r="AX31" s="21">
        <f t="shared" si="6"/>
        <v>20.366791518543781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14.2</v>
      </c>
      <c r="BD31" s="12">
        <f>IF('Données projet'!$A$88&gt;35,BD30+BC31-BL30,IF(A31&lt;'Données projet'!$A$88,$BA$205^A31,IF(A31='Données projet'!$A$88,'Données projet'!$B$88,BD30+BC31-BL30)))</f>
        <v>148.59999999999994</v>
      </c>
      <c r="BE31" s="13">
        <f>BD31*VLOOKUP('Données projet'!$B$11,Paramètres!$A$1:$I$89,3,0)*VLOOKUP('Données projet'!$B$11,Paramètres!$A$1:$I$89,5,0)</f>
        <v>118.22615999999996</v>
      </c>
      <c r="BF31" s="13">
        <f t="shared" si="37"/>
        <v>31.260922342884676</v>
      </c>
      <c r="BG31" s="20">
        <f t="shared" si="7"/>
        <v>260.35666841385739</v>
      </c>
      <c r="BH31" s="59">
        <f t="shared" si="8"/>
        <v>553.69000174719076</v>
      </c>
      <c r="BI31" s="59">
        <f ca="1">AVERAGE(OFFSET($BH$3,0,0,'Données projet'!$E$11+1,1))-AVERAGE(OFFSET($H$3,0,0,'Données projet'!$E$11+1,1))</f>
        <v>279.49721661620544</v>
      </c>
      <c r="BJ31" s="59">
        <f t="shared" si="38"/>
        <v>275.18739333988754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11.8</v>
      </c>
      <c r="BY31" s="12">
        <f>IF('Données projet'!$A$114&gt;35,BY30+BX31-CG30,IF(A31&lt;'Données projet'!$A$114,$BV$205^A31,IF(A31='Données projet'!$A$114,'Données projet'!$B$114,BY30+BX31-CG30)))</f>
        <v>122.39999999999996</v>
      </c>
      <c r="BZ31" s="13">
        <f>BY31*VLOOKUP('Données projet'!$B$12,Paramètres!$A$1:$I$89,3,0)*VLOOKUP('Données projet'!$B$12,Paramètres!$A$1:$I$89,5,0)</f>
        <v>118.38527999999997</v>
      </c>
      <c r="CA31" s="13">
        <f t="shared" si="39"/>
        <v>31.298095947718991</v>
      </c>
      <c r="CB31" s="20">
        <f t="shared" si="10"/>
        <v>260.69854644227718</v>
      </c>
      <c r="CC31" s="59">
        <f t="shared" si="11"/>
        <v>554.03187977561049</v>
      </c>
      <c r="CD31" s="59">
        <f ca="1">AVERAGE(OFFSET($CC$3,0,0,'Données projet'!$E$12+1,1))-AVERAGE(OFFSET($H$3,0,0,'Données projet'!$E$12+1,1))</f>
        <v>281.84871057356037</v>
      </c>
      <c r="CE31" s="59">
        <f t="shared" si="40"/>
        <v>276.02211904126887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14.2</v>
      </c>
      <c r="CT31" s="12">
        <f>IF('Données projet'!$A$140&gt;35,CT30+CS31-DB30,IF(A31&lt;'Données projet'!$A$140,$CQ$205^A31,IF(A31='Données projet'!$A$140,'Données projet'!$B$140,CT30+CS31-DB30)))</f>
        <v>148.59999999999994</v>
      </c>
      <c r="CU31" s="17">
        <f>CT31*VLOOKUP('Données projet'!$B$13,Paramètres!$A$1:$I$89,3,0)*VLOOKUP('Données projet'!$B$13,Paramètres!$A$1:$I$89,5,0)</f>
        <v>118.22615999999996</v>
      </c>
      <c r="CV31" s="13">
        <f t="shared" si="41"/>
        <v>31.260922342884676</v>
      </c>
      <c r="CW31" s="20">
        <f t="shared" si="13"/>
        <v>260.35666841385739</v>
      </c>
      <c r="CX31" s="59">
        <f t="shared" si="14"/>
        <v>553.69000174719076</v>
      </c>
      <c r="CY31" s="59">
        <f ca="1">AVERAGE(OFFSET($CX$3,0,0,'Données projet'!$E$13+1,1))-AVERAGE(OFFSET($H$3,0,0,'Données projet'!$E$13+1,1))</f>
        <v>279.49721661620544</v>
      </c>
      <c r="CZ31" s="59">
        <f t="shared" si="42"/>
        <v>275.18739333988754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7</v>
      </c>
      <c r="DO31" s="12">
        <f>IF('Données projet'!$A$166&gt;35,DO30+DN31-DW30,IF(A31&lt;'Données projet'!$A$166,$DL$205^A31,IF(A31='Données projet'!$A$166,'Données projet'!$B$166,DO30+DN31-DW30)))</f>
        <v>83</v>
      </c>
      <c r="DP31" s="17">
        <f>DO31*VLOOKUP('Données projet'!$B$14,Paramètres!$A$1:$I$89,3,0)*VLOOKUP('Données projet'!$B$14,Paramètres!$A$1:$I$89,5,0)</f>
        <v>84.162000000000006</v>
      </c>
      <c r="DQ31" s="13">
        <f t="shared" si="43"/>
        <v>23.151791590506594</v>
      </c>
      <c r="DR31" s="20">
        <f t="shared" si="16"/>
        <v>186.90485368679899</v>
      </c>
      <c r="DS31" s="59">
        <f t="shared" si="17"/>
        <v>480.23818702013227</v>
      </c>
      <c r="DT31" s="59">
        <f ca="1">AVERAGE(OFFSET($DS$3,0,0,'Données projet'!$E$14+1,1))-AVERAGE(OFFSET($H$3,0,0,'Données projet'!$E$14+1,1))</f>
        <v>308.80022073574963</v>
      </c>
      <c r="DU31" s="59">
        <f t="shared" si="44"/>
        <v>183.96267407004115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11.8</v>
      </c>
      <c r="EJ31" s="12">
        <f>IF('Données projet'!$A$192&gt;35,EJ30+EI31-ER30,IF(A31&lt;'Données projet'!$A$192,$EG$205^A31,IF(A31='Données projet'!$A$192,'Données projet'!$B$192,EJ30+EI31-ER30)))</f>
        <v>122.39999999999996</v>
      </c>
      <c r="EK31" s="17">
        <f>EJ31*VLOOKUP('Données projet'!$B$15,Paramètres!$A$1:$I$89,3,0)*VLOOKUP('Données projet'!$B$15,Paramètres!$A$1:$I$89,5,0)</f>
        <v>80.196479999999966</v>
      </c>
      <c r="EL31" s="13">
        <f t="shared" si="45"/>
        <v>22.185217649516314</v>
      </c>
      <c r="EM31" s="20">
        <f t="shared" si="19"/>
        <v>178.31479007290753</v>
      </c>
      <c r="EN31" s="59">
        <f t="shared" si="20"/>
        <v>471.64812340624087</v>
      </c>
      <c r="EO31" s="59">
        <f ca="1">AVERAGE(OFFSET($EN$3,0,0,'Données projet'!$E$15+1,1))-AVERAGE(OFFSET($H$3,0,0,'Données projet'!$E$15+1,1))</f>
        <v>178.71569711875242</v>
      </c>
      <c r="EP31" s="59">
        <f t="shared" si="46"/>
        <v>178.13848582064168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7</v>
      </c>
      <c r="FE31" s="12">
        <f>IF('Données projet'!$A$218&gt;35,FE30+FD31-FM30,IF(A31&lt;'Données projet'!$A$218,$FB$205^A31,IF(A31='Données projet'!$A$218,'Données projet'!$B$218,FE30+FD31-FM30)))</f>
        <v>83</v>
      </c>
      <c r="FF31" s="17">
        <f>FE31*VLOOKUP('Données projet'!$B$16,Paramètres!$A$1:$I$89,3,0)*VLOOKUP('Données projet'!$B$16,Paramètres!$A$1:$I$89,5,0)</f>
        <v>69.919200000000004</v>
      </c>
      <c r="FG31" s="13">
        <f t="shared" si="47"/>
        <v>19.653390735061731</v>
      </c>
      <c r="FH31" s="20">
        <f t="shared" si="22"/>
        <v>156.00559553023251</v>
      </c>
      <c r="FI31" s="59">
        <f t="shared" si="23"/>
        <v>449.3389288635658</v>
      </c>
      <c r="FJ31" s="59">
        <f ca="1">AVERAGE(OFFSET($FI$3,0,0,'Données projet'!$E$16+1,1))-AVERAGE(OFFSET($H$3,0,0,'Données projet'!$E$16+1,1))</f>
        <v>247.22536892257716</v>
      </c>
      <c r="FK31" s="59">
        <f t="shared" si="48"/>
        <v>147.97952262756075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6">
        <f t="shared" si="1"/>
        <v>325.86609922271543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13</v>
      </c>
      <c r="N32" s="13">
        <f>IF('Données projet'!$A$36&gt;35,N31+M32-V31,IF(A32&lt;'Données projet'!$A$36,$K$205^A32,IF(A32='Données projet'!$A$36,'Données projet'!$B$36,N31+M32-V31)))</f>
        <v>171.00000000000003</v>
      </c>
      <c r="O32" s="13">
        <f>N32*VLOOKUP('Données projet'!$B$9,Paramètres!$A$1:$I$89,3,0)*VLOOKUP('Données projet'!$B$9,Paramètres!$A$1:$I$89,5,0)</f>
        <v>149.38560000000004</v>
      </c>
      <c r="P32" s="13">
        <f t="shared" si="33"/>
        <v>38.438927680599591</v>
      </c>
      <c r="Q32" s="20">
        <f t="shared" si="2"/>
        <v>327.12771904371101</v>
      </c>
      <c r="R32" s="59">
        <f t="shared" si="0"/>
        <v>620.46105237704433</v>
      </c>
      <c r="S32" s="59">
        <f ca="1">AVERAGE(OFFSET($R$3,0,0,'Données projet'!$E$9+1,1))-AVERAGE(OFFSET($H$3,0,0,'Données projet'!$E$9+1,1))</f>
        <v>253.73326067725128</v>
      </c>
      <c r="T32" s="59">
        <f t="shared" si="34"/>
        <v>317.76427047458026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25.4</v>
      </c>
      <c r="AI32" s="13">
        <f>IF('Données projet'!$A$62&gt;35,AI31+AH32-AQ31,IF(A32&lt;'Données projet'!$A$62,$AF$205^A32,IF(A32='Données projet'!$A$62,'Données projet'!$B$62,AI31+AH32-AQ31)))</f>
        <v>283.59999999999997</v>
      </c>
      <c r="AJ32" s="13">
        <f>AI32*VLOOKUP('Données projet'!$B$10,Paramètres!$A$1:$I$89,3,0)*VLOOKUP('Données projet'!$B$10,Paramètres!$A$1:$I$89,5,0)</f>
        <v>136.41159999999999</v>
      </c>
      <c r="AK32" s="13">
        <f t="shared" si="35"/>
        <v>35.473715291544508</v>
      </c>
      <c r="AL32" s="20">
        <f t="shared" si="4"/>
        <v>299.36692413277325</v>
      </c>
      <c r="AM32" s="59">
        <f t="shared" si="5"/>
        <v>592.70025746610656</v>
      </c>
      <c r="AN32" s="59">
        <f ca="1">AVERAGE(OFFSET($AM$3,0,0,'Données projet'!$E$10+1,1))-AVERAGE(OFFSET($H$3,0,0,'Données projet'!$E$10+1,1))</f>
        <v>349.65790906807746</v>
      </c>
      <c r="AO32" s="59">
        <f t="shared" si="36"/>
        <v>291.88925884278888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19.710539623926028</v>
      </c>
      <c r="AW32" s="21">
        <f>EXP(-LN(2)/2)*AW31+(1-EXP(-LN(2)/2))/(LN(2)/2)*AQ32*AT32*VLOOKUP('Données projet'!$B$10,Paramètres!$A$1:$I$89,3,0)*0.475*44/12</f>
        <v>7.220493640424365E-2</v>
      </c>
      <c r="AX32" s="21">
        <f t="shared" si="6"/>
        <v>19.782744560330272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14.2</v>
      </c>
      <c r="BD32" s="12">
        <f>IF('Données projet'!$A$88&gt;35,BD31+BC32-BL31,IF(A32&lt;'Données projet'!$A$88,$BA$205^A32,IF(A32='Données projet'!$A$88,'Données projet'!$B$88,BD31+BC32-BL31)))</f>
        <v>162.79999999999993</v>
      </c>
      <c r="BE32" s="13">
        <f>BD32*VLOOKUP('Données projet'!$B$11,Paramètres!$A$1:$I$89,3,0)*VLOOKUP('Données projet'!$B$11,Paramètres!$A$1:$I$89,5,0)</f>
        <v>129.52367999999996</v>
      </c>
      <c r="BF32" s="13">
        <f t="shared" si="37"/>
        <v>33.886272262901727</v>
      </c>
      <c r="BG32" s="20">
        <f t="shared" si="7"/>
        <v>284.60566685788712</v>
      </c>
      <c r="BH32" s="59">
        <f t="shared" si="8"/>
        <v>577.93900019122043</v>
      </c>
      <c r="BI32" s="59">
        <f ca="1">AVERAGE(OFFSET($BH$3,0,0,'Données projet'!$E$11+1,1))-AVERAGE(OFFSET($H$3,0,0,'Données projet'!$E$11+1,1))</f>
        <v>279.49721661620544</v>
      </c>
      <c r="BJ32" s="59">
        <f t="shared" si="38"/>
        <v>275.18739333988754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11.8</v>
      </c>
      <c r="BY32" s="12">
        <f>IF('Données projet'!$A$114&gt;35,BY31+BX32-CG31,IF(A32&lt;'Données projet'!$A$114,$BV$205^A32,IF(A32='Données projet'!$A$114,'Données projet'!$B$114,BY31+BX32-CG31)))</f>
        <v>134.19999999999996</v>
      </c>
      <c r="BZ32" s="13">
        <f>BY32*VLOOKUP('Données projet'!$B$12,Paramètres!$A$1:$I$89,3,0)*VLOOKUP('Données projet'!$B$12,Paramètres!$A$1:$I$89,5,0)</f>
        <v>129.79823999999996</v>
      </c>
      <c r="CA32" s="13">
        <f t="shared" si="39"/>
        <v>33.949734306644871</v>
      </c>
      <c r="CB32" s="20">
        <f t="shared" si="10"/>
        <v>285.19438858407307</v>
      </c>
      <c r="CC32" s="59">
        <f t="shared" si="11"/>
        <v>578.52772191740632</v>
      </c>
      <c r="CD32" s="59">
        <f ca="1">AVERAGE(OFFSET($CC$3,0,0,'Données projet'!$E$12+1,1))-AVERAGE(OFFSET($H$3,0,0,'Données projet'!$E$12+1,1))</f>
        <v>281.84871057356037</v>
      </c>
      <c r="CE32" s="59">
        <f t="shared" si="40"/>
        <v>276.02211904126887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14.2</v>
      </c>
      <c r="CT32" s="12">
        <f>IF('Données projet'!$A$140&gt;35,CT31+CS32-DB31,IF(A32&lt;'Données projet'!$A$140,$CQ$205^A32,IF(A32='Données projet'!$A$140,'Données projet'!$B$140,CT31+CS32-DB31)))</f>
        <v>162.79999999999993</v>
      </c>
      <c r="CU32" s="17">
        <f>CT32*VLOOKUP('Données projet'!$B$13,Paramètres!$A$1:$I$89,3,0)*VLOOKUP('Données projet'!$B$13,Paramètres!$A$1:$I$89,5,0)</f>
        <v>129.52367999999996</v>
      </c>
      <c r="CV32" s="13">
        <f t="shared" si="41"/>
        <v>33.886272262901727</v>
      </c>
      <c r="CW32" s="20">
        <f t="shared" si="13"/>
        <v>284.60566685788712</v>
      </c>
      <c r="CX32" s="59">
        <f t="shared" si="14"/>
        <v>577.93900019122043</v>
      </c>
      <c r="CY32" s="59">
        <f ca="1">AVERAGE(OFFSET($CX$3,0,0,'Données projet'!$E$13+1,1))-AVERAGE(OFFSET($H$3,0,0,'Données projet'!$E$13+1,1))</f>
        <v>279.49721661620544</v>
      </c>
      <c r="CZ32" s="59">
        <f t="shared" si="42"/>
        <v>275.18739333988754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7</v>
      </c>
      <c r="DO32" s="12">
        <f>IF('Données projet'!$A$166&gt;35,DO31+DN32-DW31,IF(A32&lt;'Données projet'!$A$166,$DL$205^A32,IF(A32='Données projet'!$A$166,'Données projet'!$B$166,DO31+DN32-DW31)))</f>
        <v>90</v>
      </c>
      <c r="DP32" s="17">
        <f>DO32*VLOOKUP('Données projet'!$B$14,Paramètres!$A$1:$I$89,3,0)*VLOOKUP('Données projet'!$B$14,Paramètres!$A$1:$I$89,5,0)</f>
        <v>91.26</v>
      </c>
      <c r="DQ32" s="13">
        <f t="shared" si="43"/>
        <v>24.868860330902777</v>
      </c>
      <c r="DR32" s="20">
        <f t="shared" si="16"/>
        <v>202.25776507632233</v>
      </c>
      <c r="DS32" s="59">
        <f t="shared" si="17"/>
        <v>495.59109840965561</v>
      </c>
      <c r="DT32" s="59">
        <f ca="1">AVERAGE(OFFSET($DS$3,0,0,'Données projet'!$E$14+1,1))-AVERAGE(OFFSET($H$3,0,0,'Données projet'!$E$14+1,1))</f>
        <v>308.80022073574963</v>
      </c>
      <c r="DU32" s="59">
        <f t="shared" si="44"/>
        <v>183.96267407004115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11.8</v>
      </c>
      <c r="EJ32" s="12">
        <f>IF('Données projet'!$A$192&gt;35,EJ31+EI32-ER31,IF(A32&lt;'Données projet'!$A$192,$EG$205^A32,IF(A32='Données projet'!$A$192,'Données projet'!$B$192,EJ31+EI32-ER31)))</f>
        <v>134.19999999999996</v>
      </c>
      <c r="EK32" s="17">
        <f>EJ32*VLOOKUP('Données projet'!$B$15,Paramètres!$A$1:$I$89,3,0)*VLOOKUP('Données projet'!$B$15,Paramètres!$A$1:$I$89,5,0)</f>
        <v>87.927839999999975</v>
      </c>
      <c r="EL32" s="13">
        <f t="shared" si="45"/>
        <v>24.064794420539194</v>
      </c>
      <c r="EM32" s="20">
        <f t="shared" si="19"/>
        <v>195.05383828243905</v>
      </c>
      <c r="EN32" s="59">
        <f t="shared" si="20"/>
        <v>488.38717161577233</v>
      </c>
      <c r="EO32" s="59">
        <f ca="1">AVERAGE(OFFSET($EN$3,0,0,'Données projet'!$E$15+1,1))-AVERAGE(OFFSET($H$3,0,0,'Données projet'!$E$15+1,1))</f>
        <v>178.71569711875242</v>
      </c>
      <c r="EP32" s="59">
        <f t="shared" si="46"/>
        <v>178.13848582064168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7</v>
      </c>
      <c r="FE32" s="12">
        <f>IF('Données projet'!$A$218&gt;35,FE31+FD32-FM31,IF(A32&lt;'Données projet'!$A$218,$FB$205^A32,IF(A32='Données projet'!$A$218,'Données projet'!$B$218,FE31+FD32-FM31)))</f>
        <v>90</v>
      </c>
      <c r="FF32" s="17">
        <f>FE32*VLOOKUP('Données projet'!$B$16,Paramètres!$A$1:$I$89,3,0)*VLOOKUP('Données projet'!$B$16,Paramètres!$A$1:$I$89,5,0)</f>
        <v>75.816000000000003</v>
      </c>
      <c r="FG32" s="13">
        <f t="shared" si="47"/>
        <v>21.110998140607162</v>
      </c>
      <c r="FH32" s="20">
        <f t="shared" si="22"/>
        <v>168.81452176155747</v>
      </c>
      <c r="FI32" s="59">
        <f t="shared" si="23"/>
        <v>462.14785509489082</v>
      </c>
      <c r="FJ32" s="59">
        <f ca="1">AVERAGE(OFFSET($FI$3,0,0,'Données projet'!$E$16+1,1))-AVERAGE(OFFSET($H$3,0,0,'Données projet'!$E$16+1,1))</f>
        <v>247.22536892257716</v>
      </c>
      <c r="FK32" s="59">
        <f t="shared" si="48"/>
        <v>147.97952262756075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6">
        <f t="shared" si="1"/>
        <v>326.95435467009145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184</v>
      </c>
      <c r="L33" s="12">
        <f>VLOOKUP(A33,'Données projet'!$A$35:$I$55,9,0)</f>
        <v>13</v>
      </c>
      <c r="M33" s="12">
        <f t="array" ref="M33">INDEX(L:L,MIN(IF(ISNUMBER(L33:L229),ROW(L33:L229),"")))</f>
        <v>13</v>
      </c>
      <c r="N33" s="13">
        <f>IF('Données projet'!$A$36&gt;35,N32+M33-V32,IF(A33&lt;'Données projet'!$A$36,$K$205^A33,IF(A33='Données projet'!$A$36,'Données projet'!$B$36,N32+M33-V32)))</f>
        <v>184.00000000000003</v>
      </c>
      <c r="O33" s="13">
        <f>N33*VLOOKUP('Données projet'!$B$9,Paramètres!$A$1:$I$89,3,0)*VLOOKUP('Données projet'!$B$9,Paramètres!$A$1:$I$89,5,0)</f>
        <v>160.74240000000003</v>
      </c>
      <c r="P33" s="13">
        <f t="shared" si="33"/>
        <v>41.009920657227809</v>
      </c>
      <c r="Q33" s="20">
        <f t="shared" si="2"/>
        <v>351.38529181133845</v>
      </c>
      <c r="R33" s="59">
        <f t="shared" si="0"/>
        <v>644.71862514467171</v>
      </c>
      <c r="S33" s="59">
        <f ca="1">AVERAGE(OFFSET($R$3,0,0,'Données projet'!$E$9+1,1))-AVERAGE(OFFSET($H$3,0,0,'Données projet'!$E$9+1,1))</f>
        <v>253.73326067725128</v>
      </c>
      <c r="T33" s="59">
        <f t="shared" si="34"/>
        <v>317.76427047458026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44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309</v>
      </c>
      <c r="AG33" s="12">
        <f>VLOOKUP(A33,'Données projet'!$A$61:$I$81,9,0)</f>
        <v>25.4</v>
      </c>
      <c r="AH33" s="12">
        <f t="array" ref="AH33">INDEX(AG:AG,MIN(IF(ISNUMBER(AG33:AG229),ROW(AG33:AG229),"")))</f>
        <v>25.4</v>
      </c>
      <c r="AI33" s="13">
        <f>IF('Données projet'!$A$62&gt;35,AI32+AH33-AQ32,IF(A33&lt;'Données projet'!$A$62,$AF$205^A33,IF(A33='Données projet'!$A$62,'Données projet'!$B$62,AI32+AH33-AQ32)))</f>
        <v>308.99999999999994</v>
      </c>
      <c r="AJ33" s="13">
        <f>AI33*VLOOKUP('Données projet'!$B$10,Paramètres!$A$1:$I$89,3,0)*VLOOKUP('Données projet'!$B$10,Paramètres!$A$1:$I$89,5,0)</f>
        <v>148.62899999999999</v>
      </c>
      <c r="AK33" s="13">
        <f t="shared" si="35"/>
        <v>38.266854648543763</v>
      </c>
      <c r="AL33" s="20">
        <f t="shared" si="4"/>
        <v>325.51028017954701</v>
      </c>
      <c r="AM33" s="59">
        <f t="shared" si="5"/>
        <v>618.84361351288032</v>
      </c>
      <c r="AN33" s="59">
        <f ca="1">AVERAGE(OFFSET($AM$3,0,0,'Données projet'!$E$10+1,1))-AVERAGE(OFFSET($H$3,0,0,'Données projet'!$E$10+1,1))</f>
        <v>349.65790906807746</v>
      </c>
      <c r="AO33" s="59">
        <f t="shared" si="36"/>
        <v>291.88925884278888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63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0.55000000000000004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41.193886287652944</v>
      </c>
      <c r="AW33" s="21">
        <f>EXP(-LN(2)/2)*AW32+(1-EXP(-LN(2)/2))/(LN(2)/2)*AQ33*AT33*VLOOKUP('Données projet'!$B$10,Paramètres!$A$1:$I$89,3,0)*0.475*44/12</f>
        <v>5.1056600166584094E-2</v>
      </c>
      <c r="AX33" s="21">
        <f t="shared" si="6"/>
        <v>41.244942887819526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177</v>
      </c>
      <c r="BB33" s="12">
        <f>VLOOKUP(A33,'Données projet'!$A$87:$I$107,9,0)</f>
        <v>14.2</v>
      </c>
      <c r="BC33" s="12">
        <f t="array" ref="BC33">INDEX(BB:BB,MIN(IF(ISNUMBER(BB33:BB229),ROW(BB33:BB229),"")))</f>
        <v>14.2</v>
      </c>
      <c r="BD33" s="12">
        <f>IF('Données projet'!$A$88&gt;35,BD32+BC33-BL32,IF(A33&lt;'Données projet'!$A$88,$BA$205^A33,IF(A33='Données projet'!$A$88,'Données projet'!$B$88,BD32+BC33-BL32)))</f>
        <v>176.99999999999991</v>
      </c>
      <c r="BE33" s="13">
        <f>BD33*VLOOKUP('Données projet'!$B$11,Paramètres!$A$1:$I$89,3,0)*VLOOKUP('Données projet'!$B$11,Paramètres!$A$1:$I$89,5,0)</f>
        <v>140.82119999999992</v>
      </c>
      <c r="BF33" s="13">
        <f t="shared" si="37"/>
        <v>36.485066799987997</v>
      </c>
      <c r="BG33" s="20">
        <f t="shared" si="7"/>
        <v>308.80841467664561</v>
      </c>
      <c r="BH33" s="59">
        <f t="shared" si="8"/>
        <v>602.14174800997898</v>
      </c>
      <c r="BI33" s="59">
        <f ca="1">AVERAGE(OFFSET($BH$3,0,0,'Données projet'!$E$11+1,1))-AVERAGE(OFFSET($H$3,0,0,'Données projet'!$E$11+1,1))</f>
        <v>279.49721661620544</v>
      </c>
      <c r="BJ33" s="59">
        <f t="shared" si="38"/>
        <v>275.18739333988754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35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146</v>
      </c>
      <c r="BW33" s="12">
        <f>VLOOKUP(A33,'Données projet'!$A$113:$I$133,9,0)</f>
        <v>11.8</v>
      </c>
      <c r="BX33" s="12">
        <f t="array" ref="BX33">INDEX(BW:BW,MIN(IF(ISNUMBER(BW33:BW229),ROW(BW33:BW229),"")))</f>
        <v>11.8</v>
      </c>
      <c r="BY33" s="12">
        <f>IF('Données projet'!$A$114&gt;35,BY32+BX33-CG32,IF(A33&lt;'Données projet'!$A$114,$BV$205^A33,IF(A33='Données projet'!$A$114,'Données projet'!$B$114,BY32+BX33-CG32)))</f>
        <v>145.99999999999997</v>
      </c>
      <c r="BZ33" s="13">
        <f>BY33*VLOOKUP('Données projet'!$B$12,Paramètres!$A$1:$I$89,3,0)*VLOOKUP('Données projet'!$B$12,Paramètres!$A$1:$I$89,5,0)</f>
        <v>141.21119999999996</v>
      </c>
      <c r="CA33" s="13">
        <f t="shared" si="39"/>
        <v>36.574335145278738</v>
      </c>
      <c r="CB33" s="20">
        <f t="shared" si="10"/>
        <v>309.64314037802706</v>
      </c>
      <c r="CC33" s="59">
        <f t="shared" si="11"/>
        <v>602.97647371136031</v>
      </c>
      <c r="CD33" s="59">
        <f ca="1">AVERAGE(OFFSET($CC$3,0,0,'Données projet'!$E$12+1,1))-AVERAGE(OFFSET($H$3,0,0,'Données projet'!$E$12+1,1))</f>
        <v>281.84871057356037</v>
      </c>
      <c r="CE33" s="59">
        <f t="shared" si="40"/>
        <v>276.02211904126887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28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177</v>
      </c>
      <c r="CR33" s="12">
        <f>VLOOKUP(A33,'Données projet'!$A$139:$I$159,9,0)</f>
        <v>14.2</v>
      </c>
      <c r="CS33" s="12">
        <f t="array" ref="CS33">INDEX(CR:CR,MIN(IF(ISNUMBER(CR33:CR229),ROW(CR33:CR229),"")))</f>
        <v>14.2</v>
      </c>
      <c r="CT33" s="12">
        <f>IF('Données projet'!$A$140&gt;35,CT32+CS33-DB32,IF(A33&lt;'Données projet'!$A$140,$CQ$205^A33,IF(A33='Données projet'!$A$140,'Données projet'!$B$140,CT32+CS33-DB32)))</f>
        <v>176.99999999999991</v>
      </c>
      <c r="CU33" s="17">
        <f>CT33*VLOOKUP('Données projet'!$B$13,Paramètres!$A$1:$I$89,3,0)*VLOOKUP('Données projet'!$B$13,Paramètres!$A$1:$I$89,5,0)</f>
        <v>140.82119999999992</v>
      </c>
      <c r="CV33" s="13">
        <f t="shared" si="41"/>
        <v>36.485066799987997</v>
      </c>
      <c r="CW33" s="20">
        <f t="shared" si="13"/>
        <v>308.80841467664561</v>
      </c>
      <c r="CX33" s="59">
        <f t="shared" si="14"/>
        <v>602.14174800997898</v>
      </c>
      <c r="CY33" s="59">
        <f ca="1">AVERAGE(OFFSET($CX$3,0,0,'Données projet'!$E$13+1,1))-AVERAGE(OFFSET($H$3,0,0,'Données projet'!$E$13+1,1))</f>
        <v>279.49721661620544</v>
      </c>
      <c r="CZ33" s="59">
        <f t="shared" si="42"/>
        <v>275.18739333988754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35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97</v>
      </c>
      <c r="DM33" s="12">
        <f>VLOOKUP(A33,'Données projet'!$A$165:$I$185,9,0)</f>
        <v>7</v>
      </c>
      <c r="DN33" s="12">
        <f t="array" ref="DN33">INDEX(DM:DM,MIN(IF(ISNUMBER(DM33:DM229),ROW(DM33:DM229),"")))</f>
        <v>7</v>
      </c>
      <c r="DO33" s="12">
        <f>IF('Données projet'!$A$166&gt;35,DO32+DN33-DW32,IF(A33&lt;'Données projet'!$A$166,$DL$205^A33,IF(A33='Données projet'!$A$166,'Données projet'!$B$166,DO32+DN33-DW32)))</f>
        <v>97</v>
      </c>
      <c r="DP33" s="17">
        <f>DO33*VLOOKUP('Données projet'!$B$14,Paramètres!$A$1:$I$89,3,0)*VLOOKUP('Données projet'!$B$14,Paramètres!$A$1:$I$89,5,0)</f>
        <v>98.358000000000004</v>
      </c>
      <c r="DQ33" s="13">
        <f t="shared" si="43"/>
        <v>26.570437554143126</v>
      </c>
      <c r="DR33" s="20">
        <f t="shared" si="16"/>
        <v>217.58369540679928</v>
      </c>
      <c r="DS33" s="59">
        <f t="shared" si="17"/>
        <v>510.91702874013259</v>
      </c>
      <c r="DT33" s="59">
        <f ca="1">AVERAGE(OFFSET($DS$3,0,0,'Données projet'!$E$14+1,1))-AVERAGE(OFFSET($H$3,0,0,'Données projet'!$E$14+1,1))</f>
        <v>308.80022073574963</v>
      </c>
      <c r="DU33" s="59">
        <f t="shared" si="44"/>
        <v>183.96267407004115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21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146</v>
      </c>
      <c r="EH33" s="12">
        <f>VLOOKUP(A33,'Données projet'!$A$191:$I$211,9,0)</f>
        <v>11.8</v>
      </c>
      <c r="EI33" s="12">
        <f t="array" ref="EI33">INDEX(EH:EH,MIN(IF(ISNUMBER(EH33:EH229),ROW(EH33:EH229),"")))</f>
        <v>11.8</v>
      </c>
      <c r="EJ33" s="12">
        <f>IF('Données projet'!$A$192&gt;35,EJ32+EI33-ER32,IF(A33&lt;'Données projet'!$A$192,$EG$205^A33,IF(A33='Données projet'!$A$192,'Données projet'!$B$192,EJ32+EI33-ER32)))</f>
        <v>145.99999999999997</v>
      </c>
      <c r="EK33" s="17">
        <f>EJ33*VLOOKUP('Données projet'!$B$15,Paramètres!$A$1:$I$89,3,0)*VLOOKUP('Données projet'!$B$15,Paramètres!$A$1:$I$89,5,0)</f>
        <v>95.659199999999984</v>
      </c>
      <c r="EL33" s="13">
        <f t="shared" si="45"/>
        <v>25.92520602338745</v>
      </c>
      <c r="EM33" s="20">
        <f t="shared" si="19"/>
        <v>211.75950715739978</v>
      </c>
      <c r="EN33" s="59">
        <f t="shared" si="20"/>
        <v>505.09284049073312</v>
      </c>
      <c r="EO33" s="59">
        <f ca="1">AVERAGE(OFFSET($EN$3,0,0,'Données projet'!$E$15+1,1))-AVERAGE(OFFSET($H$3,0,0,'Données projet'!$E$15+1,1))</f>
        <v>178.71569711875242</v>
      </c>
      <c r="EP33" s="59">
        <f t="shared" si="46"/>
        <v>178.13848582064168</v>
      </c>
      <c r="EQ33" s="15">
        <f>IF(ISNA(VLOOKUP(A33,'Données projet'!$A$191:$I$211,3,0)),0,VLOOKUP(A33,'Données projet'!$A$191:$I$211,3,0))</f>
        <v>4</v>
      </c>
      <c r="ER33" s="15">
        <f>IF(ISNA(VLOOKUP(A33,'Données projet'!$A$191:$I$211,4,0)),0,VLOOKUP(A33,'Données projet'!$A$191:$I$211,4,0))</f>
        <v>28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97</v>
      </c>
      <c r="FC33" s="12">
        <f>VLOOKUP(A33,'Données projet'!$A$217:$I$237,9,0)</f>
        <v>7</v>
      </c>
      <c r="FD33" s="12">
        <f t="array" ref="FD33">INDEX(FC:FC,MIN(IF(ISNUMBER(FC33:FC229),ROW(FC33:FC229),"")))</f>
        <v>7</v>
      </c>
      <c r="FE33" s="12">
        <f>IF('Données projet'!$A$218&gt;35,FE32+FD33-FM32,IF(A33&lt;'Données projet'!$A$218,$FB$205^A33,IF(A33='Données projet'!$A$218,'Données projet'!$B$218,FE32+FD33-FM32)))</f>
        <v>97</v>
      </c>
      <c r="FF33" s="17">
        <f>FE33*VLOOKUP('Données projet'!$B$16,Paramètres!$A$1:$I$89,3,0)*VLOOKUP('Données projet'!$B$16,Paramètres!$A$1:$I$89,5,0)</f>
        <v>81.712800000000001</v>
      </c>
      <c r="FG33" s="13">
        <f t="shared" si="47"/>
        <v>22.55545490774292</v>
      </c>
      <c r="FH33" s="20">
        <f t="shared" si="22"/>
        <v>181.60054396431892</v>
      </c>
      <c r="FI33" s="59">
        <f t="shared" si="23"/>
        <v>474.9338772976522</v>
      </c>
      <c r="FJ33" s="59">
        <f ca="1">AVERAGE(OFFSET($FI$3,0,0,'Données projet'!$E$16+1,1))-AVERAGE(OFFSET($H$3,0,0,'Données projet'!$E$16+1,1))</f>
        <v>247.22536892257716</v>
      </c>
      <c r="FK33" s="59">
        <f t="shared" si="48"/>
        <v>147.97952262756075</v>
      </c>
      <c r="FL33" s="15">
        <f>IF(ISNA(VLOOKUP(A33,'Données projet'!$A$217:$I$237,3,0)),0,VLOOKUP(A33,'Données projet'!$A$217:$I$237,3,0))</f>
        <v>2</v>
      </c>
      <c r="FM33" s="15">
        <f>IF(ISNA(VLOOKUP(A33,'Données projet'!$A$217:$I$237,4,0)),0,VLOOKUP(A33,'Données projet'!$A$217:$I$237,4,0))</f>
        <v>21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6">
        <f t="shared" si="1"/>
        <v>328.04163981740385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12.2</v>
      </c>
      <c r="N34" s="13">
        <f>IF('Données projet'!$A$36&gt;35,N33+M34-V33,IF(A34&lt;'Données projet'!$A$36,$K$205^A34,IF(A34='Données projet'!$A$36,'Données projet'!$B$36,N33+M34-V33)))</f>
        <v>152.20000000000002</v>
      </c>
      <c r="O34" s="13">
        <f>N34*VLOOKUP('Données projet'!$B$9,Paramètres!$A$1:$I$89,3,0)*VLOOKUP('Données projet'!$B$9,Paramètres!$A$1:$I$89,5,0)</f>
        <v>132.96192000000002</v>
      </c>
      <c r="P34" s="13">
        <f t="shared" si="33"/>
        <v>34.679872132599144</v>
      </c>
      <c r="Q34" s="20">
        <f t="shared" si="2"/>
        <v>291.97612129761018</v>
      </c>
      <c r="R34" s="59">
        <f t="shared" si="0"/>
        <v>585.30945463094349</v>
      </c>
      <c r="S34" s="59">
        <f ca="1">AVERAGE(OFFSET($R$3,0,0,'Données projet'!$E$9+1,1))-AVERAGE(OFFSET($H$3,0,0,'Données projet'!$E$9+1,1))</f>
        <v>253.73326067725128</v>
      </c>
      <c r="T34" s="59">
        <f t="shared" si="34"/>
        <v>317.76427047458026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25.6</v>
      </c>
      <c r="AI34" s="13">
        <f>IF('Données projet'!$A$62&gt;35,AI33+AH34-AQ33,IF(A34&lt;'Données projet'!$A$62,$AF$205^A34,IF(A34='Données projet'!$A$62,'Données projet'!$B$62,AI33+AH34-AQ33)))</f>
        <v>271.59999999999997</v>
      </c>
      <c r="AJ34" s="13">
        <f>AI34*VLOOKUP('Données projet'!$B$10,Paramètres!$A$1:$I$89,3,0)*VLOOKUP('Données projet'!$B$10,Paramètres!$A$1:$I$89,5,0)</f>
        <v>130.6396</v>
      </c>
      <c r="AK34" s="13">
        <f t="shared" si="35"/>
        <v>34.1441098709372</v>
      </c>
      <c r="AL34" s="20">
        <f t="shared" si="4"/>
        <v>286.99829469188228</v>
      </c>
      <c r="AM34" s="59">
        <f t="shared" si="5"/>
        <v>580.33162802521565</v>
      </c>
      <c r="AN34" s="59">
        <f ca="1">AVERAGE(OFFSET($AM$3,0,0,'Données projet'!$E$10+1,1))-AVERAGE(OFFSET($H$3,0,0,'Données projet'!$E$10+1,1))</f>
        <v>349.65790906807746</v>
      </c>
      <c r="AO34" s="59">
        <f t="shared" si="36"/>
        <v>291.88925884278888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40.067437300824743</v>
      </c>
      <c r="AW34" s="21">
        <f>EXP(-LN(2)/2)*AW33+(1-EXP(-LN(2)/2))/(LN(2)/2)*AQ34*AT34*VLOOKUP('Données projet'!$B$10,Paramètres!$A$1:$I$89,3,0)*0.475*44/12</f>
        <v>3.6102468202121825E-2</v>
      </c>
      <c r="AX34" s="21">
        <f t="shared" si="6"/>
        <v>40.103539769026867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12.8</v>
      </c>
      <c r="BD34" s="12">
        <f>IF('Données projet'!$A$88&gt;35,BD33+BC34-BL33,IF(A34&lt;'Données projet'!$A$88,$BA$205^A34,IF(A34='Données projet'!$A$88,'Données projet'!$B$88,BD33+BC34-BL33)))</f>
        <v>154.79999999999993</v>
      </c>
      <c r="BE34" s="13">
        <f>BD34*VLOOKUP('Données projet'!$B$11,Paramètres!$A$1:$I$89,3,0)*VLOOKUP('Données projet'!$B$11,Paramètres!$A$1:$I$89,5,0)</f>
        <v>123.15887999999995</v>
      </c>
      <c r="BF34" s="13">
        <f t="shared" si="37"/>
        <v>32.410638331814873</v>
      </c>
      <c r="BG34" s="20">
        <f t="shared" si="7"/>
        <v>270.95024442791083</v>
      </c>
      <c r="BH34" s="59">
        <f t="shared" si="8"/>
        <v>564.28357776124415</v>
      </c>
      <c r="BI34" s="59">
        <f ca="1">AVERAGE(OFFSET($BH$3,0,0,'Données projet'!$E$11+1,1))-AVERAGE(OFFSET($H$3,0,0,'Données projet'!$E$11+1,1))</f>
        <v>279.49721661620544</v>
      </c>
      <c r="BJ34" s="59">
        <f t="shared" si="38"/>
        <v>275.18739333988754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10.8</v>
      </c>
      <c r="BY34" s="12">
        <f>IF('Données projet'!$A$114&gt;35,BY33+BX34-CG33,IF(A34&lt;'Données projet'!$A$114,$BV$205^A34,IF(A34='Données projet'!$A$114,'Données projet'!$B$114,BY33+BX34-CG33)))</f>
        <v>128.79999999999998</v>
      </c>
      <c r="BZ34" s="13">
        <f>BY34*VLOOKUP('Données projet'!$B$12,Paramètres!$A$1:$I$89,3,0)*VLOOKUP('Données projet'!$B$12,Paramètres!$A$1:$I$89,5,0)</f>
        <v>124.57535999999999</v>
      </c>
      <c r="CA34" s="13">
        <f t="shared" si="39"/>
        <v>32.739791806000952</v>
      </c>
      <c r="CB34" s="20">
        <f t="shared" si="10"/>
        <v>273.99055606211823</v>
      </c>
      <c r="CC34" s="59">
        <f t="shared" si="11"/>
        <v>567.32388939545149</v>
      </c>
      <c r="CD34" s="59">
        <f ca="1">AVERAGE(OFFSET($CC$3,0,0,'Données projet'!$E$12+1,1))-AVERAGE(OFFSET($H$3,0,0,'Données projet'!$E$12+1,1))</f>
        <v>281.84871057356037</v>
      </c>
      <c r="CE34" s="59">
        <f t="shared" si="40"/>
        <v>276.02211904126887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12.8</v>
      </c>
      <c r="CT34" s="12">
        <f>IF('Données projet'!$A$140&gt;35,CT33+CS34-DB33,IF(A34&lt;'Données projet'!$A$140,$CQ$205^A34,IF(A34='Données projet'!$A$140,'Données projet'!$B$140,CT33+CS34-DB33)))</f>
        <v>154.79999999999993</v>
      </c>
      <c r="CU34" s="17">
        <f>CT34*VLOOKUP('Données projet'!$B$13,Paramètres!$A$1:$I$89,3,0)*VLOOKUP('Données projet'!$B$13,Paramètres!$A$1:$I$89,5,0)</f>
        <v>123.15887999999995</v>
      </c>
      <c r="CV34" s="13">
        <f t="shared" si="41"/>
        <v>32.410638331814873</v>
      </c>
      <c r="CW34" s="20">
        <f t="shared" si="13"/>
        <v>270.95024442791083</v>
      </c>
      <c r="CX34" s="59">
        <f t="shared" si="14"/>
        <v>564.28357776124415</v>
      </c>
      <c r="CY34" s="59">
        <f ca="1">AVERAGE(OFFSET($CX$3,0,0,'Données projet'!$E$13+1,1))-AVERAGE(OFFSET($H$3,0,0,'Données projet'!$E$13+1,1))</f>
        <v>279.49721661620544</v>
      </c>
      <c r="CZ34" s="59">
        <f t="shared" si="42"/>
        <v>275.18739333988754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8</v>
      </c>
      <c r="DO34" s="12">
        <f>IF('Données projet'!$A$166&gt;35,DO33+DN34-DW33,IF(A34&lt;'Données projet'!$A$166,$DL$205^A34,IF(A34='Données projet'!$A$166,'Données projet'!$B$166,DO33+DN34-DW33)))</f>
        <v>84</v>
      </c>
      <c r="DP34" s="17">
        <f>DO34*VLOOKUP('Données projet'!$B$14,Paramètres!$A$1:$I$89,3,0)*VLOOKUP('Données projet'!$B$14,Paramètres!$A$1:$I$89,5,0)</f>
        <v>85.176000000000002</v>
      </c>
      <c r="DQ34" s="13">
        <f t="shared" si="43"/>
        <v>23.398088487656441</v>
      </c>
      <c r="DR34" s="20">
        <f t="shared" si="16"/>
        <v>189.09987078266829</v>
      </c>
      <c r="DS34" s="59">
        <f t="shared" si="17"/>
        <v>482.4332041160016</v>
      </c>
      <c r="DT34" s="59">
        <f ca="1">AVERAGE(OFFSET($DS$3,0,0,'Données projet'!$E$14+1,1))-AVERAGE(OFFSET($H$3,0,0,'Données projet'!$E$14+1,1))</f>
        <v>308.80022073574963</v>
      </c>
      <c r="DU34" s="59">
        <f t="shared" si="44"/>
        <v>183.96267407004115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10.8</v>
      </c>
      <c r="EJ34" s="12">
        <f>IF('Données projet'!$A$192&gt;35,EJ33+EI34-ER33,IF(A34&lt;'Données projet'!$A$192,$EG$205^A34,IF(A34='Données projet'!$A$192,'Données projet'!$B$192,EJ33+EI34-ER33)))</f>
        <v>128.79999999999998</v>
      </c>
      <c r="EK34" s="17">
        <f>EJ34*VLOOKUP('Données projet'!$B$15,Paramètres!$A$1:$I$89,3,0)*VLOOKUP('Données projet'!$B$15,Paramètres!$A$1:$I$89,5,0)</f>
        <v>84.389759999999981</v>
      </c>
      <c r="EL34" s="13">
        <f t="shared" si="45"/>
        <v>23.207143598424498</v>
      </c>
      <c r="EM34" s="20">
        <f t="shared" si="19"/>
        <v>187.3979404339226</v>
      </c>
      <c r="EN34" s="59">
        <f t="shared" si="20"/>
        <v>480.73127376725591</v>
      </c>
      <c r="EO34" s="59">
        <f ca="1">AVERAGE(OFFSET($EN$3,0,0,'Données projet'!$E$15+1,1))-AVERAGE(OFFSET($H$3,0,0,'Données projet'!$E$15+1,1))</f>
        <v>178.71569711875242</v>
      </c>
      <c r="EP34" s="59">
        <f t="shared" si="46"/>
        <v>178.13848582064168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8</v>
      </c>
      <c r="FE34" s="12">
        <f>IF('Données projet'!$A$218&gt;35,FE33+FD34-FM33,IF(A34&lt;'Données projet'!$A$218,$FB$205^A34,IF(A34='Données projet'!$A$218,'Données projet'!$B$218,FE33+FD34-FM33)))</f>
        <v>84</v>
      </c>
      <c r="FF34" s="17">
        <f>FE34*VLOOKUP('Données projet'!$B$16,Paramètres!$A$1:$I$89,3,0)*VLOOKUP('Données projet'!$B$16,Paramètres!$A$1:$I$89,5,0)</f>
        <v>70.761600000000001</v>
      </c>
      <c r="FG34" s="13">
        <f t="shared" si="47"/>
        <v>19.862470414169767</v>
      </c>
      <c r="FH34" s="20">
        <f t="shared" si="22"/>
        <v>157.83692263801234</v>
      </c>
      <c r="FI34" s="59">
        <f t="shared" si="23"/>
        <v>451.17025597134568</v>
      </c>
      <c r="FJ34" s="59">
        <f ca="1">AVERAGE(OFFSET($FI$3,0,0,'Données projet'!$E$16+1,1))-AVERAGE(OFFSET($H$3,0,0,'Données projet'!$E$16+1,1))</f>
        <v>247.22536892257716</v>
      </c>
      <c r="FK34" s="59">
        <f t="shared" si="48"/>
        <v>147.97952262756075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6">
        <f t="shared" si="1"/>
        <v>329.12798955473778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12.2</v>
      </c>
      <c r="N35" s="13">
        <f>IF('Données projet'!$A$36&gt;35,N34+M35-V34,IF(A35&lt;'Données projet'!$A$36,$K$205^A35,IF(A35='Données projet'!$A$36,'Données projet'!$B$36,N34+M35-V34)))</f>
        <v>164.4</v>
      </c>
      <c r="O35" s="13">
        <f>N35*VLOOKUP('Données projet'!$B$9,Paramètres!$A$1:$I$89,3,0)*VLOOKUP('Données projet'!$B$9,Paramètres!$A$1:$I$89,5,0)</f>
        <v>143.61984000000001</v>
      </c>
      <c r="P35" s="13">
        <f t="shared" si="33"/>
        <v>37.125023974706046</v>
      </c>
      <c r="Q35" s="20">
        <f t="shared" ref="Q35:Q66" si="53">(O35+P35)*0.475*44/12</f>
        <v>314.79730475594641</v>
      </c>
      <c r="R35" s="59">
        <f t="shared" si="0"/>
        <v>608.13063808927973</v>
      </c>
      <c r="S35" s="59">
        <f ca="1">AVERAGE(OFFSET($R$3,0,0,'Données projet'!$E$9+1,1))-AVERAGE(OFFSET($H$3,0,0,'Données projet'!$E$9+1,1))</f>
        <v>253.73326067725128</v>
      </c>
      <c r="T35" s="59">
        <f t="shared" si="34"/>
        <v>317.76427047458026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25.6</v>
      </c>
      <c r="AI35" s="13">
        <f>IF('Données projet'!$A$62&gt;35,AI34+AH35-AQ34,IF(A35&lt;'Données projet'!$A$62,$AF$205^A35,IF(A35='Données projet'!$A$62,'Données projet'!$B$62,AI34+AH35-AQ34)))</f>
        <v>297.2</v>
      </c>
      <c r="AJ35" s="13">
        <f>AI35*VLOOKUP('Données projet'!$B$10,Paramètres!$A$1:$I$89,3,0)*VLOOKUP('Données projet'!$B$10,Paramètres!$A$1:$I$89,5,0)</f>
        <v>142.95320000000001</v>
      </c>
      <c r="AK35" s="13">
        <f t="shared" si="35"/>
        <v>36.97271801736909</v>
      </c>
      <c r="AL35" s="20">
        <f t="shared" si="4"/>
        <v>313.37097388025114</v>
      </c>
      <c r="AM35" s="59">
        <f t="shared" si="5"/>
        <v>606.70430721358446</v>
      </c>
      <c r="AN35" s="59">
        <f ca="1">AVERAGE(OFFSET($AM$3,0,0,'Données projet'!$E$10+1,1))-AVERAGE(OFFSET($H$3,0,0,'Données projet'!$E$10+1,1))</f>
        <v>349.65790906807746</v>
      </c>
      <c r="AO35" s="59">
        <f t="shared" si="36"/>
        <v>291.88925884278888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38.97179112077874</v>
      </c>
      <c r="AW35" s="21">
        <f>EXP(-LN(2)/2)*AW34+(1-EXP(-LN(2)/2))/(LN(2)/2)*AQ35*AT35*VLOOKUP('Données projet'!$B$10,Paramètres!$A$1:$I$89,3,0)*0.475*44/12</f>
        <v>2.5528300083292047E-2</v>
      </c>
      <c r="AX35" s="21">
        <f t="shared" si="6"/>
        <v>38.997319420862034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12.8</v>
      </c>
      <c r="BD35" s="12">
        <f>IF('Données projet'!$A$88&gt;35,BD34+BC35-BL34,IF(A35&lt;'Données projet'!$A$88,$BA$205^A35,IF(A35='Données projet'!$A$88,'Données projet'!$B$88,BD34+BC35-BL34)))</f>
        <v>167.59999999999994</v>
      </c>
      <c r="BE35" s="13">
        <f>BD35*VLOOKUP('Données projet'!$B$11,Paramètres!$A$1:$I$89,3,0)*VLOOKUP('Données projet'!$B$11,Paramètres!$A$1:$I$89,5,0)</f>
        <v>133.34255999999996</v>
      </c>
      <c r="BF35" s="13">
        <f t="shared" si="37"/>
        <v>34.767581918978188</v>
      </c>
      <c r="BG35" s="20">
        <f t="shared" si="7"/>
        <v>292.7918305088869</v>
      </c>
      <c r="BH35" s="59">
        <f t="shared" si="8"/>
        <v>586.12516384222022</v>
      </c>
      <c r="BI35" s="59">
        <f ca="1">AVERAGE(OFFSET($BH$3,0,0,'Données projet'!$E$11+1,1))-AVERAGE(OFFSET($H$3,0,0,'Données projet'!$E$11+1,1))</f>
        <v>279.49721661620544</v>
      </c>
      <c r="BJ35" s="59">
        <f t="shared" si="38"/>
        <v>275.18739333988754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10.8</v>
      </c>
      <c r="BY35" s="12">
        <f>IF('Données projet'!$A$114&gt;35,BY34+BX35-CG34,IF(A35&lt;'Données projet'!$A$114,$BV$205^A35,IF(A35='Données projet'!$A$114,'Données projet'!$B$114,BY34+BX35-CG34)))</f>
        <v>139.6</v>
      </c>
      <c r="BZ35" s="13">
        <f>BY35*VLOOKUP('Données projet'!$B$12,Paramètres!$A$1:$I$89,3,0)*VLOOKUP('Données projet'!$B$12,Paramètres!$A$1:$I$89,5,0)</f>
        <v>135.02112</v>
      </c>
      <c r="CA35" s="13">
        <f t="shared" si="39"/>
        <v>35.154021371414437</v>
      </c>
      <c r="CB35" s="20">
        <f t="shared" si="10"/>
        <v>296.38837122188016</v>
      </c>
      <c r="CC35" s="59">
        <f t="shared" si="11"/>
        <v>589.72170455521348</v>
      </c>
      <c r="CD35" s="59">
        <f ca="1">AVERAGE(OFFSET($CC$3,0,0,'Données projet'!$E$12+1,1))-AVERAGE(OFFSET($H$3,0,0,'Données projet'!$E$12+1,1))</f>
        <v>281.84871057356037</v>
      </c>
      <c r="CE35" s="59">
        <f t="shared" si="40"/>
        <v>276.02211904126887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12.8</v>
      </c>
      <c r="CT35" s="12">
        <f>IF('Données projet'!$A$140&gt;35,CT34+CS35-DB34,IF(A35&lt;'Données projet'!$A$140,$CQ$205^A35,IF(A35='Données projet'!$A$140,'Données projet'!$B$140,CT34+CS35-DB34)))</f>
        <v>167.59999999999994</v>
      </c>
      <c r="CU35" s="17">
        <f>CT35*VLOOKUP('Données projet'!$B$13,Paramètres!$A$1:$I$89,3,0)*VLOOKUP('Données projet'!$B$13,Paramètres!$A$1:$I$89,5,0)</f>
        <v>133.34255999999996</v>
      </c>
      <c r="CV35" s="13">
        <f t="shared" si="41"/>
        <v>34.767581918978188</v>
      </c>
      <c r="CW35" s="20">
        <f t="shared" si="13"/>
        <v>292.7918305088869</v>
      </c>
      <c r="CX35" s="59">
        <f t="shared" si="14"/>
        <v>586.12516384222022</v>
      </c>
      <c r="CY35" s="59">
        <f ca="1">AVERAGE(OFFSET($CX$3,0,0,'Données projet'!$E$13+1,1))-AVERAGE(OFFSET($H$3,0,0,'Données projet'!$E$13+1,1))</f>
        <v>279.49721661620544</v>
      </c>
      <c r="CZ35" s="59">
        <f t="shared" si="42"/>
        <v>275.18739333988754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8</v>
      </c>
      <c r="DO35" s="12">
        <f>IF('Données projet'!$A$166&gt;35,DO34+DN35-DW34,IF(A35&lt;'Données projet'!$A$166,$DL$205^A35,IF(A35='Données projet'!$A$166,'Données projet'!$B$166,DO34+DN35-DW34)))</f>
        <v>92</v>
      </c>
      <c r="DP35" s="17">
        <f>DO35*VLOOKUP('Données projet'!$B$14,Paramètres!$A$1:$I$89,3,0)*VLOOKUP('Données projet'!$B$14,Paramètres!$A$1:$I$89,5,0)</f>
        <v>93.288000000000011</v>
      </c>
      <c r="DQ35" s="13">
        <f t="shared" si="43"/>
        <v>25.356547829040977</v>
      </c>
      <c r="DR35" s="20">
        <f t="shared" si="16"/>
        <v>206.63925413557971</v>
      </c>
      <c r="DS35" s="59">
        <f t="shared" si="17"/>
        <v>499.97258746891305</v>
      </c>
      <c r="DT35" s="59">
        <f ca="1">AVERAGE(OFFSET($DS$3,0,0,'Données projet'!$E$14+1,1))-AVERAGE(OFFSET($H$3,0,0,'Données projet'!$E$14+1,1))</f>
        <v>308.80022073574963</v>
      </c>
      <c r="DU35" s="59">
        <f t="shared" si="44"/>
        <v>183.96267407004115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10.8</v>
      </c>
      <c r="EJ35" s="12">
        <f>IF('Données projet'!$A$192&gt;35,EJ34+EI35-ER34,IF(A35&lt;'Données projet'!$A$192,$EG$205^A35,IF(A35='Données projet'!$A$192,'Données projet'!$B$192,EJ34+EI35-ER34)))</f>
        <v>139.6</v>
      </c>
      <c r="EK35" s="17">
        <f>EJ35*VLOOKUP('Données projet'!$B$15,Paramètres!$A$1:$I$89,3,0)*VLOOKUP('Données projet'!$B$15,Paramètres!$A$1:$I$89,5,0)</f>
        <v>91.465919999999997</v>
      </c>
      <c r="EL35" s="13">
        <f t="shared" si="45"/>
        <v>24.918436466018196</v>
      </c>
      <c r="EM35" s="20">
        <f t="shared" si="19"/>
        <v>202.70275417831499</v>
      </c>
      <c r="EN35" s="59">
        <f t="shared" si="20"/>
        <v>496.0360875116483</v>
      </c>
      <c r="EO35" s="59">
        <f ca="1">AVERAGE(OFFSET($EN$3,0,0,'Données projet'!$E$15+1,1))-AVERAGE(OFFSET($H$3,0,0,'Données projet'!$E$15+1,1))</f>
        <v>178.71569711875242</v>
      </c>
      <c r="EP35" s="59">
        <f t="shared" si="46"/>
        <v>178.13848582064168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8</v>
      </c>
      <c r="FE35" s="12">
        <f>IF('Données projet'!$A$218&gt;35,FE34+FD35-FM34,IF(A35&lt;'Données projet'!$A$218,$FB$205^A35,IF(A35='Données projet'!$A$218,'Données projet'!$B$218,FE34+FD35-FM34)))</f>
        <v>92</v>
      </c>
      <c r="FF35" s="17">
        <f>FE35*VLOOKUP('Données projet'!$B$16,Paramètres!$A$1:$I$89,3,0)*VLOOKUP('Données projet'!$B$16,Paramètres!$A$1:$I$89,5,0)</f>
        <v>77.500800000000012</v>
      </c>
      <c r="FG35" s="13">
        <f t="shared" si="47"/>
        <v>21.524992579009275</v>
      </c>
      <c r="FH35" s="20">
        <f t="shared" si="22"/>
        <v>172.46992207510786</v>
      </c>
      <c r="FI35" s="59">
        <f t="shared" si="23"/>
        <v>465.80325540844115</v>
      </c>
      <c r="FJ35" s="59">
        <f ca="1">AVERAGE(OFFSET($FI$3,0,0,'Données projet'!$E$16+1,1))-AVERAGE(OFFSET($H$3,0,0,'Données projet'!$E$16+1,1))</f>
        <v>247.22536892257716</v>
      </c>
      <c r="FK35" s="59">
        <f t="shared" si="48"/>
        <v>147.97952262756075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6">
        <f t="shared" si="1"/>
        <v>330.21343646768912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12.2</v>
      </c>
      <c r="N36" s="13">
        <f>IF('Données projet'!$A$36&gt;35,N35+M36-V35,IF(A36&lt;'Données projet'!$A$36,$K$205^A36,IF(A36='Données projet'!$A$36,'Données projet'!$B$36,N35+M36-V35)))</f>
        <v>176.6</v>
      </c>
      <c r="O36" s="13">
        <f>N36*VLOOKUP('Données projet'!$B$9,Paramètres!$A$1:$I$89,3,0)*VLOOKUP('Données projet'!$B$9,Paramètres!$A$1:$I$89,5,0)</f>
        <v>154.27776</v>
      </c>
      <c r="P36" s="13">
        <f t="shared" si="33"/>
        <v>39.549125277353333</v>
      </c>
      <c r="Q36" s="20">
        <f t="shared" si="53"/>
        <v>337.58182519139035</v>
      </c>
      <c r="R36" s="59">
        <f t="shared" si="0"/>
        <v>630.91515852472367</v>
      </c>
      <c r="S36" s="59">
        <f ca="1">AVERAGE(OFFSET($R$3,0,0,'Données projet'!$E$9+1,1))-AVERAGE(OFFSET($H$3,0,0,'Données projet'!$E$9+1,1))</f>
        <v>253.73326067725128</v>
      </c>
      <c r="T36" s="59">
        <f t="shared" si="34"/>
        <v>317.76427047458026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25.6</v>
      </c>
      <c r="AI36" s="13">
        <f>IF('Données projet'!$A$62&gt;35,AI35+AH36-AQ35,IF(A36&lt;'Données projet'!$A$62,$AF$205^A36,IF(A36='Données projet'!$A$62,'Données projet'!$B$62,AI35+AH36-AQ35)))</f>
        <v>322.8</v>
      </c>
      <c r="AJ36" s="13">
        <f>AI36*VLOOKUP('Données projet'!$B$10,Paramètres!$A$1:$I$89,3,0)*VLOOKUP('Données projet'!$B$10,Paramètres!$A$1:$I$89,5,0)</f>
        <v>155.26680000000002</v>
      </c>
      <c r="AK36" s="13">
        <f t="shared" si="35"/>
        <v>39.773070312263521</v>
      </c>
      <c r="AL36" s="20">
        <f t="shared" si="4"/>
        <v>339.69444079385897</v>
      </c>
      <c r="AM36" s="59">
        <f t="shared" si="5"/>
        <v>633.02777412719229</v>
      </c>
      <c r="AN36" s="59">
        <f ca="1">AVERAGE(OFFSET($AM$3,0,0,'Données projet'!$E$10+1,1))-AVERAGE(OFFSET($H$3,0,0,'Données projet'!$E$10+1,1))</f>
        <v>349.65790906807746</v>
      </c>
      <c r="AO36" s="59">
        <f t="shared" si="36"/>
        <v>291.88925884278888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37.906105443143623</v>
      </c>
      <c r="AW36" s="21">
        <f>EXP(-LN(2)/2)*AW35+(1-EXP(-LN(2)/2))/(LN(2)/2)*AQ36*AT36*VLOOKUP('Données projet'!$B$10,Paramètres!$A$1:$I$89,3,0)*0.475*44/12</f>
        <v>1.8051234101060912E-2</v>
      </c>
      <c r="AX36" s="21">
        <f t="shared" si="6"/>
        <v>37.924156677244682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12.8</v>
      </c>
      <c r="BD36" s="12">
        <f>IF('Données projet'!$A$88&gt;35,BD35+BC36-BL35,IF(A36&lt;'Données projet'!$A$88,$BA$205^A36,IF(A36='Données projet'!$A$88,'Données projet'!$B$88,BD35+BC36-BL35)))</f>
        <v>180.39999999999995</v>
      </c>
      <c r="BE36" s="13">
        <f>BD36*VLOOKUP('Données projet'!$B$11,Paramètres!$A$1:$I$89,3,0)*VLOOKUP('Données projet'!$B$11,Paramètres!$A$1:$I$89,5,0)</f>
        <v>143.52623999999997</v>
      </c>
      <c r="BF36" s="13">
        <f t="shared" si="37"/>
        <v>37.103644337236275</v>
      </c>
      <c r="BG36" s="20">
        <f t="shared" si="7"/>
        <v>314.59704855401981</v>
      </c>
      <c r="BH36" s="59">
        <f t="shared" si="8"/>
        <v>607.93038188735318</v>
      </c>
      <c r="BI36" s="59">
        <f ca="1">AVERAGE(OFFSET($BH$3,0,0,'Données projet'!$E$11+1,1))-AVERAGE(OFFSET($H$3,0,0,'Données projet'!$E$11+1,1))</f>
        <v>279.49721661620544</v>
      </c>
      <c r="BJ36" s="59">
        <f t="shared" si="38"/>
        <v>275.18739333988754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10.8</v>
      </c>
      <c r="BY36" s="12">
        <f>IF('Données projet'!$A$114&gt;35,BY35+BX36-CG35,IF(A36&lt;'Données projet'!$A$114,$BV$205^A36,IF(A36='Données projet'!$A$114,'Données projet'!$B$114,BY35+BX36-CG35)))</f>
        <v>150.4</v>
      </c>
      <c r="BZ36" s="13">
        <f>BY36*VLOOKUP('Données projet'!$B$12,Paramètres!$A$1:$I$89,3,0)*VLOOKUP('Données projet'!$B$12,Paramètres!$A$1:$I$89,5,0)</f>
        <v>145.46688</v>
      </c>
      <c r="CA36" s="13">
        <f t="shared" si="39"/>
        <v>37.546585214032511</v>
      </c>
      <c r="CB36" s="20">
        <f t="shared" si="10"/>
        <v>318.74845191443995</v>
      </c>
      <c r="CC36" s="59">
        <f t="shared" si="11"/>
        <v>612.08178524777327</v>
      </c>
      <c r="CD36" s="59">
        <f ca="1">AVERAGE(OFFSET($CC$3,0,0,'Données projet'!$E$12+1,1))-AVERAGE(OFFSET($H$3,0,0,'Données projet'!$E$12+1,1))</f>
        <v>281.84871057356037</v>
      </c>
      <c r="CE36" s="59">
        <f t="shared" si="40"/>
        <v>276.02211904126887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12.8</v>
      </c>
      <c r="CT36" s="12">
        <f>IF('Données projet'!$A$140&gt;35,CT35+CS36-DB35,IF(A36&lt;'Données projet'!$A$140,$CQ$205^A36,IF(A36='Données projet'!$A$140,'Données projet'!$B$140,CT35+CS36-DB35)))</f>
        <v>180.39999999999995</v>
      </c>
      <c r="CU36" s="17">
        <f>CT36*VLOOKUP('Données projet'!$B$13,Paramètres!$A$1:$I$89,3,0)*VLOOKUP('Données projet'!$B$13,Paramètres!$A$1:$I$89,5,0)</f>
        <v>143.52623999999997</v>
      </c>
      <c r="CV36" s="13">
        <f t="shared" si="41"/>
        <v>37.103644337236275</v>
      </c>
      <c r="CW36" s="20">
        <f t="shared" si="13"/>
        <v>314.59704855401981</v>
      </c>
      <c r="CX36" s="59">
        <f t="shared" si="14"/>
        <v>607.93038188735318</v>
      </c>
      <c r="CY36" s="59">
        <f ca="1">AVERAGE(OFFSET($CX$3,0,0,'Données projet'!$E$13+1,1))-AVERAGE(OFFSET($H$3,0,0,'Données projet'!$E$13+1,1))</f>
        <v>279.49721661620544</v>
      </c>
      <c r="CZ36" s="59">
        <f t="shared" si="42"/>
        <v>275.18739333988754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8</v>
      </c>
      <c r="DO36" s="12">
        <f>IF('Données projet'!$A$166&gt;35,DO35+DN36-DW35,IF(A36&lt;'Données projet'!$A$166,$DL$205^A36,IF(A36='Données projet'!$A$166,'Données projet'!$B$166,DO35+DN36-DW35)))</f>
        <v>100</v>
      </c>
      <c r="DP36" s="17">
        <f>DO36*VLOOKUP('Données projet'!$B$14,Paramètres!$A$1:$I$89,3,0)*VLOOKUP('Données projet'!$B$14,Paramètres!$A$1:$I$89,5,0)</f>
        <v>101.4</v>
      </c>
      <c r="DQ36" s="13">
        <f t="shared" si="43"/>
        <v>27.295257887453797</v>
      </c>
      <c r="DR36" s="20">
        <f t="shared" si="16"/>
        <v>224.14424082064872</v>
      </c>
      <c r="DS36" s="59">
        <f t="shared" si="17"/>
        <v>517.477574153982</v>
      </c>
      <c r="DT36" s="59">
        <f ca="1">AVERAGE(OFFSET($DS$3,0,0,'Données projet'!$E$14+1,1))-AVERAGE(OFFSET($H$3,0,0,'Données projet'!$E$14+1,1))</f>
        <v>308.80022073574963</v>
      </c>
      <c r="DU36" s="59">
        <f t="shared" si="44"/>
        <v>183.96267407004115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10.8</v>
      </c>
      <c r="EJ36" s="12">
        <f>IF('Données projet'!$A$192&gt;35,EJ35+EI36-ER35,IF(A36&lt;'Données projet'!$A$192,$EG$205^A36,IF(A36='Données projet'!$A$192,'Données projet'!$B$192,EJ35+EI36-ER35)))</f>
        <v>150.4</v>
      </c>
      <c r="EK36" s="17">
        <f>EJ36*VLOOKUP('Données projet'!$B$15,Paramètres!$A$1:$I$89,3,0)*VLOOKUP('Données projet'!$B$15,Paramètres!$A$1:$I$89,5,0)</f>
        <v>98.542079999999999</v>
      </c>
      <c r="EL36" s="13">
        <f t="shared" si="45"/>
        <v>26.614371888975242</v>
      </c>
      <c r="EM36" s="20">
        <f t="shared" si="19"/>
        <v>217.98082037329854</v>
      </c>
      <c r="EN36" s="59">
        <f t="shared" si="20"/>
        <v>511.31415370663183</v>
      </c>
      <c r="EO36" s="59">
        <f ca="1">AVERAGE(OFFSET($EN$3,0,0,'Données projet'!$E$15+1,1))-AVERAGE(OFFSET($H$3,0,0,'Données projet'!$E$15+1,1))</f>
        <v>178.71569711875242</v>
      </c>
      <c r="EP36" s="59">
        <f t="shared" si="46"/>
        <v>178.13848582064168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8</v>
      </c>
      <c r="FE36" s="12">
        <f>IF('Données projet'!$A$218&gt;35,FE35+FD36-FM35,IF(A36&lt;'Données projet'!$A$218,$FB$205^A36,IF(A36='Données projet'!$A$218,'Données projet'!$B$218,FE35+FD36-FM35)))</f>
        <v>100</v>
      </c>
      <c r="FF36" s="17">
        <f>FE36*VLOOKUP('Données projet'!$B$16,Paramètres!$A$1:$I$89,3,0)*VLOOKUP('Données projet'!$B$16,Paramètres!$A$1:$I$89,5,0)</f>
        <v>84.240000000000009</v>
      </c>
      <c r="FG36" s="13">
        <f t="shared" si="47"/>
        <v>23.170749718409468</v>
      </c>
      <c r="FH36" s="20">
        <f t="shared" si="22"/>
        <v>187.07372242622981</v>
      </c>
      <c r="FI36" s="59">
        <f t="shared" si="23"/>
        <v>480.40705575956315</v>
      </c>
      <c r="FJ36" s="59">
        <f ca="1">AVERAGE(OFFSET($FI$3,0,0,'Données projet'!$E$16+1,1))-AVERAGE(OFFSET($H$3,0,0,'Données projet'!$E$16+1,1))</f>
        <v>247.22536892257716</v>
      </c>
      <c r="FK36" s="59">
        <f t="shared" si="48"/>
        <v>147.97952262756075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6">
        <f t="shared" si="1"/>
        <v>331.29801105474394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12.2</v>
      </c>
      <c r="N37" s="13">
        <f>IF('Données projet'!$A$36&gt;35,N36+M37-V36,IF(A37&lt;'Données projet'!$A$36,$K$205^A37,IF(A37='Données projet'!$A$36,'Données projet'!$B$36,N36+M37-V36)))</f>
        <v>188.79999999999998</v>
      </c>
      <c r="O37" s="13">
        <f>N37*VLOOKUP('Données projet'!$B$9,Paramètres!$A$1:$I$89,3,0)*VLOOKUP('Données projet'!$B$9,Paramètres!$A$1:$I$89,5,0)</f>
        <v>164.93567999999999</v>
      </c>
      <c r="P37" s="13">
        <f t="shared" si="33"/>
        <v>41.953795695589498</v>
      </c>
      <c r="Q37" s="20">
        <f t="shared" si="53"/>
        <v>360.33250350315166</v>
      </c>
      <c r="R37" s="59">
        <f t="shared" si="0"/>
        <v>653.66583683648491</v>
      </c>
      <c r="S37" s="59">
        <f ca="1">AVERAGE(OFFSET($R$3,0,0,'Données projet'!$E$9+1,1))-AVERAGE(OFFSET($H$3,0,0,'Données projet'!$E$9+1,1))</f>
        <v>253.73326067725128</v>
      </c>
      <c r="T37" s="59">
        <f t="shared" si="34"/>
        <v>317.76427047458026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25.6</v>
      </c>
      <c r="AI37" s="13">
        <f>IF('Données projet'!$A$62&gt;35,AI36+AH37-AQ36,IF(A37&lt;'Données projet'!$A$62,$AF$205^A37,IF(A37='Données projet'!$A$62,'Données projet'!$B$62,AI36+AH37-AQ36)))</f>
        <v>348.40000000000003</v>
      </c>
      <c r="AJ37" s="13">
        <f>AI37*VLOOKUP('Données projet'!$B$10,Paramètres!$A$1:$I$89,3,0)*VLOOKUP('Données projet'!$B$10,Paramètres!$A$1:$I$89,5,0)</f>
        <v>167.58040000000003</v>
      </c>
      <c r="AK37" s="13">
        <f t="shared" si="35"/>
        <v>42.547662384248028</v>
      </c>
      <c r="AL37" s="20">
        <f t="shared" si="4"/>
        <v>365.97304198589865</v>
      </c>
      <c r="AM37" s="59">
        <f t="shared" si="5"/>
        <v>659.30637531923196</v>
      </c>
      <c r="AN37" s="59">
        <f ca="1">AVERAGE(OFFSET($AM$3,0,0,'Données projet'!$E$10+1,1))-AVERAGE(OFFSET($H$3,0,0,'Données projet'!$E$10+1,1))</f>
        <v>349.65790906807746</v>
      </c>
      <c r="AO37" s="59">
        <f t="shared" si="36"/>
        <v>291.88925884278888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36.869560996405411</v>
      </c>
      <c r="AW37" s="21">
        <f>EXP(-LN(2)/2)*AW36+(1-EXP(-LN(2)/2))/(LN(2)/2)*AQ37*AT37*VLOOKUP('Données projet'!$B$10,Paramètres!$A$1:$I$89,3,0)*0.475*44/12</f>
        <v>1.2764150041646024E-2</v>
      </c>
      <c r="AX37" s="21">
        <f t="shared" si="6"/>
        <v>36.882325146447059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12.8</v>
      </c>
      <c r="BD37" s="12">
        <f>IF('Données projet'!$A$88&gt;35,BD36+BC37-BL36,IF(A37&lt;'Données projet'!$A$88,$BA$205^A37,IF(A37='Données projet'!$A$88,'Données projet'!$B$88,BD36+BC37-BL36)))</f>
        <v>193.19999999999996</v>
      </c>
      <c r="BE37" s="13">
        <f>BD37*VLOOKUP('Données projet'!$B$11,Paramètres!$A$1:$I$89,3,0)*VLOOKUP('Données projet'!$B$11,Paramètres!$A$1:$I$89,5,0)</f>
        <v>153.70991999999998</v>
      </c>
      <c r="BF37" s="13">
        <f t="shared" si="37"/>
        <v>39.420475690379831</v>
      </c>
      <c r="BG37" s="20">
        <f t="shared" si="7"/>
        <v>336.3687724940782</v>
      </c>
      <c r="BH37" s="59">
        <f t="shared" si="8"/>
        <v>629.70210582741151</v>
      </c>
      <c r="BI37" s="59">
        <f ca="1">AVERAGE(OFFSET($BH$3,0,0,'Données projet'!$E$11+1,1))-AVERAGE(OFFSET($H$3,0,0,'Données projet'!$E$11+1,1))</f>
        <v>279.49721661620544</v>
      </c>
      <c r="BJ37" s="59">
        <f t="shared" si="38"/>
        <v>275.18739333988754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10.8</v>
      </c>
      <c r="BY37" s="12">
        <f>IF('Données projet'!$A$114&gt;35,BY36+BX37-CG36,IF(A37&lt;'Données projet'!$A$114,$BV$205^A37,IF(A37='Données projet'!$A$114,'Données projet'!$B$114,BY36+BX37-CG36)))</f>
        <v>161.20000000000002</v>
      </c>
      <c r="BZ37" s="13">
        <f>BY37*VLOOKUP('Données projet'!$B$12,Paramètres!$A$1:$I$89,3,0)*VLOOKUP('Données projet'!$B$12,Paramètres!$A$1:$I$89,5,0)</f>
        <v>155.91264000000004</v>
      </c>
      <c r="CA37" s="13">
        <f t="shared" si="39"/>
        <v>39.919216057228688</v>
      </c>
      <c r="CB37" s="20">
        <f t="shared" si="10"/>
        <v>341.07381596633996</v>
      </c>
      <c r="CC37" s="59">
        <f t="shared" si="11"/>
        <v>634.40714929967328</v>
      </c>
      <c r="CD37" s="59">
        <f ca="1">AVERAGE(OFFSET($CC$3,0,0,'Données projet'!$E$12+1,1))-AVERAGE(OFFSET($H$3,0,0,'Données projet'!$E$12+1,1))</f>
        <v>281.84871057356037</v>
      </c>
      <c r="CE37" s="59">
        <f t="shared" si="40"/>
        <v>276.02211904126887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12.8</v>
      </c>
      <c r="CT37" s="12">
        <f>IF('Données projet'!$A$140&gt;35,CT36+CS37-DB36,IF(A37&lt;'Données projet'!$A$140,$CQ$205^A37,IF(A37='Données projet'!$A$140,'Données projet'!$B$140,CT36+CS37-DB36)))</f>
        <v>193.19999999999996</v>
      </c>
      <c r="CU37" s="17">
        <f>CT37*VLOOKUP('Données projet'!$B$13,Paramètres!$A$1:$I$89,3,0)*VLOOKUP('Données projet'!$B$13,Paramètres!$A$1:$I$89,5,0)</f>
        <v>153.70991999999998</v>
      </c>
      <c r="CV37" s="13">
        <f t="shared" si="41"/>
        <v>39.420475690379831</v>
      </c>
      <c r="CW37" s="20">
        <f t="shared" si="13"/>
        <v>336.3687724940782</v>
      </c>
      <c r="CX37" s="59">
        <f t="shared" si="14"/>
        <v>629.70210582741151</v>
      </c>
      <c r="CY37" s="59">
        <f ca="1">AVERAGE(OFFSET($CX$3,0,0,'Données projet'!$E$13+1,1))-AVERAGE(OFFSET($H$3,0,0,'Données projet'!$E$13+1,1))</f>
        <v>279.49721661620544</v>
      </c>
      <c r="CZ37" s="59">
        <f t="shared" si="42"/>
        <v>275.18739333988754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8</v>
      </c>
      <c r="DO37" s="12">
        <f>IF('Données projet'!$A$166&gt;35,DO36+DN37-DW36,IF(A37&lt;'Données projet'!$A$166,$DL$205^A37,IF(A37='Données projet'!$A$166,'Données projet'!$B$166,DO36+DN37-DW36)))</f>
        <v>108</v>
      </c>
      <c r="DP37" s="17">
        <f>DO37*VLOOKUP('Données projet'!$B$14,Paramètres!$A$1:$I$89,3,0)*VLOOKUP('Données projet'!$B$14,Paramètres!$A$1:$I$89,5,0)</f>
        <v>109.51200000000001</v>
      </c>
      <c r="DQ37" s="13">
        <f t="shared" si="43"/>
        <v>29.215978230632555</v>
      </c>
      <c r="DR37" s="20">
        <f t="shared" si="16"/>
        <v>241.61789541835174</v>
      </c>
      <c r="DS37" s="59">
        <f t="shared" si="17"/>
        <v>534.95122875168499</v>
      </c>
      <c r="DT37" s="59">
        <f ca="1">AVERAGE(OFFSET($DS$3,0,0,'Données projet'!$E$14+1,1))-AVERAGE(OFFSET($H$3,0,0,'Données projet'!$E$14+1,1))</f>
        <v>308.80022073574963</v>
      </c>
      <c r="DU37" s="59">
        <f t="shared" si="44"/>
        <v>183.96267407004115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10.8</v>
      </c>
      <c r="EJ37" s="12">
        <f>IF('Données projet'!$A$192&gt;35,EJ36+EI37-ER36,IF(A37&lt;'Données projet'!$A$192,$EG$205^A37,IF(A37='Données projet'!$A$192,'Données projet'!$B$192,EJ36+EI37-ER36)))</f>
        <v>161.20000000000002</v>
      </c>
      <c r="EK37" s="17">
        <f>EJ37*VLOOKUP('Données projet'!$B$15,Paramètres!$A$1:$I$89,3,0)*VLOOKUP('Données projet'!$B$15,Paramètres!$A$1:$I$89,5,0)</f>
        <v>105.61824000000001</v>
      </c>
      <c r="EL37" s="13">
        <f t="shared" si="45"/>
        <v>28.296178084029062</v>
      </c>
      <c r="EM37" s="20">
        <f t="shared" si="19"/>
        <v>233.23427816301728</v>
      </c>
      <c r="EN37" s="59">
        <f t="shared" si="20"/>
        <v>526.56761149635054</v>
      </c>
      <c r="EO37" s="59">
        <f ca="1">AVERAGE(OFFSET($EN$3,0,0,'Données projet'!$E$15+1,1))-AVERAGE(OFFSET($H$3,0,0,'Données projet'!$E$15+1,1))</f>
        <v>178.71569711875242</v>
      </c>
      <c r="EP37" s="59">
        <f t="shared" si="46"/>
        <v>178.13848582064168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8</v>
      </c>
      <c r="FE37" s="12">
        <f>IF('Données projet'!$A$218&gt;35,FE36+FD37-FM36,IF(A37&lt;'Données projet'!$A$218,$FB$205^A37,IF(A37='Données projet'!$A$218,'Données projet'!$B$218,FE36+FD37-FM36)))</f>
        <v>108</v>
      </c>
      <c r="FF37" s="17">
        <f>FE37*VLOOKUP('Données projet'!$B$16,Paramètres!$A$1:$I$89,3,0)*VLOOKUP('Données projet'!$B$16,Paramètres!$A$1:$I$89,5,0)</f>
        <v>90.97920000000002</v>
      </c>
      <c r="FG37" s="13">
        <f t="shared" si="47"/>
        <v>24.801235516871511</v>
      </c>
      <c r="FH37" s="20">
        <f t="shared" si="22"/>
        <v>201.65092519188457</v>
      </c>
      <c r="FI37" s="59">
        <f t="shared" si="23"/>
        <v>494.98425852521791</v>
      </c>
      <c r="FJ37" s="59">
        <f ca="1">AVERAGE(OFFSET($FI$3,0,0,'Données projet'!$E$16+1,1))-AVERAGE(OFFSET($H$3,0,0,'Données projet'!$E$16+1,1))</f>
        <v>247.22536892257716</v>
      </c>
      <c r="FK37" s="59">
        <f t="shared" si="48"/>
        <v>147.97952262756075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6">
        <f t="shared" si="1"/>
        <v>332.38174191836544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201</v>
      </c>
      <c r="L38" s="12">
        <f>VLOOKUP(A38,'Données projet'!$A$35:$I$55,9,0)</f>
        <v>12.2</v>
      </c>
      <c r="M38" s="12">
        <f t="array" ref="M38">INDEX(L:L,MIN(IF(ISNUMBER(L38:L234),ROW(L38:L234),"")))</f>
        <v>12.2</v>
      </c>
      <c r="N38" s="13">
        <f>IF('Données projet'!$A$36&gt;35,N37+M38-V37,IF(A38&lt;'Données projet'!$A$36,$K$205^A38,IF(A38='Données projet'!$A$36,'Données projet'!$B$36,N37+M38-V37)))</f>
        <v>200.99999999999997</v>
      </c>
      <c r="O38" s="13">
        <f>N38*VLOOKUP('Données projet'!$B$9,Paramètres!$A$1:$I$89,3,0)*VLOOKUP('Données projet'!$B$9,Paramètres!$A$1:$I$89,5,0)</f>
        <v>175.59359999999998</v>
      </c>
      <c r="P38" s="13">
        <f t="shared" si="33"/>
        <v>44.340433728638573</v>
      </c>
      <c r="Q38" s="20">
        <f t="shared" si="53"/>
        <v>383.05177541071208</v>
      </c>
      <c r="R38" s="59">
        <f t="shared" si="0"/>
        <v>676.3851087440454</v>
      </c>
      <c r="S38" s="59">
        <f ca="1">AVERAGE(OFFSET($R$3,0,0,'Données projet'!$E$9+1,1))-AVERAGE(OFFSET($H$3,0,0,'Données projet'!$E$9+1,1))</f>
        <v>253.73326067725128</v>
      </c>
      <c r="T38" s="59">
        <f t="shared" si="34"/>
        <v>317.76427047458026</v>
      </c>
      <c r="U38" s="15">
        <f>IF(ISNA(VLOOKUP(A38,'Données projet'!$A$35:$I$55,3,0)),0,VLOOKUP(A38,'Données projet'!$A$35:$I$55,3,0))</f>
        <v>5</v>
      </c>
      <c r="V38" s="15">
        <f>IF(ISNA(VLOOKUP(A38,'Données projet'!$A$35:$I$55,4,0)),0,VLOOKUP(A38,'Données projet'!$A$35:$I$55,4,0))</f>
        <v>42</v>
      </c>
      <c r="W38" s="16">
        <f>IF(ISNA(VLOOKUP(A38,'Données projet'!$A$35:$I$55,5,0)),0%,VLOOKUP(A38,'Données projet'!$A$35:$I$55,5,0)*VLOOKUP('Données projet'!$B$9,Paramètres!$A$1:$I$89,7,0))</f>
        <v>0.43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17.441244959493336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17.441244959493336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374</v>
      </c>
      <c r="AG38" s="12">
        <f>VLOOKUP(A38,'Données projet'!$A$61:$I$81,9,0)</f>
        <v>25.6</v>
      </c>
      <c r="AH38" s="12">
        <f t="array" ref="AH38">INDEX(AG:AG,MIN(IF(ISNUMBER(AG38:AG234),ROW(AG38:AG234),"")))</f>
        <v>25.6</v>
      </c>
      <c r="AI38" s="13">
        <f>IF('Données projet'!$A$62&gt;35,AI37+AH38-AQ37,IF(A38&lt;'Données projet'!$A$62,$AF$205^A38,IF(A38='Données projet'!$A$62,'Données projet'!$B$62,AI37+AH38-AQ37)))</f>
        <v>374.00000000000006</v>
      </c>
      <c r="AJ38" s="13">
        <f>AI38*VLOOKUP('Données projet'!$B$10,Paramètres!$A$1:$I$89,3,0)*VLOOKUP('Données projet'!$B$10,Paramètres!$A$1:$I$89,5,0)</f>
        <v>179.89400000000003</v>
      </c>
      <c r="AK38" s="13">
        <f t="shared" si="35"/>
        <v>45.29860231105134</v>
      </c>
      <c r="AL38" s="20">
        <f t="shared" si="4"/>
        <v>392.21044902508112</v>
      </c>
      <c r="AM38" s="59">
        <f t="shared" si="5"/>
        <v>685.54378235841443</v>
      </c>
      <c r="AN38" s="59">
        <f ca="1">AVERAGE(OFFSET($AM$3,0,0,'Données projet'!$E$10+1,1))-AVERAGE(OFFSET($H$3,0,0,'Données projet'!$E$10+1,1))</f>
        <v>349.65790906807746</v>
      </c>
      <c r="AO38" s="59">
        <f t="shared" si="36"/>
        <v>291.88925884278888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63</v>
      </c>
      <c r="AR38" s="16">
        <f>IF(ISNA(VLOOKUP(A38,'Données projet'!$A$61:$I$81,5,0)),0%,VLOOKUP(A38,'Données projet'!$A$61:$I$81,5,0)*VLOOKUP('Données projet'!$B$10,Paramètres!$A$1:$I$89,7,0))</f>
        <v>0.55000000000000004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22.109385481251412</v>
      </c>
      <c r="AV38" s="21">
        <f>EXP(-LN(2)/25)*AV37+(1-EXP(-LN(2)/25))/(LN(2)/25)*Calculateur!AQ38*Calculateur!AS38*VLOOKUP('Données projet'!$B$10,Paramètres!$A$1:$I$89,3,0)*0.475*44/12</f>
        <v>35.861360912072762</v>
      </c>
      <c r="AW38" s="21">
        <f>EXP(-LN(2)/2)*AW37+(1-EXP(-LN(2)/2))/(LN(2)/2)*AQ38*AT38*VLOOKUP('Données projet'!$B$10,Paramètres!$A$1:$I$89,3,0)*0.475*44/12</f>
        <v>9.0256170505304562E-3</v>
      </c>
      <c r="AX38" s="21">
        <f t="shared" si="6"/>
        <v>57.97977201037471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206</v>
      </c>
      <c r="BB38" s="12">
        <f>VLOOKUP(A38,'Données projet'!$A$87:$I$107,9,0)</f>
        <v>12.8</v>
      </c>
      <c r="BC38" s="12">
        <f t="array" ref="BC38">INDEX(BB:BB,MIN(IF(ISNUMBER(BB38:BB234),ROW(BB38:BB234),"")))</f>
        <v>12.8</v>
      </c>
      <c r="BD38" s="12">
        <f>IF('Données projet'!$A$88&gt;35,BD37+BC38-BL37,IF(A38&lt;'Données projet'!$A$88,$BA$205^A38,IF(A38='Données projet'!$A$88,'Données projet'!$B$88,BD37+BC38-BL37)))</f>
        <v>205.99999999999997</v>
      </c>
      <c r="BE38" s="13">
        <f>BD38*VLOOKUP('Données projet'!$B$11,Paramètres!$A$1:$I$89,3,0)*VLOOKUP('Données projet'!$B$11,Paramètres!$A$1:$I$89,5,0)</f>
        <v>163.89359999999999</v>
      </c>
      <c r="BF38" s="13">
        <f t="shared" si="37"/>
        <v>41.71949506642347</v>
      </c>
      <c r="BG38" s="20">
        <f t="shared" si="7"/>
        <v>358.10947390735419</v>
      </c>
      <c r="BH38" s="59">
        <f t="shared" si="8"/>
        <v>651.44280724068744</v>
      </c>
      <c r="BI38" s="59">
        <f ca="1">AVERAGE(OFFSET($BH$3,0,0,'Données projet'!$E$11+1,1))-AVERAGE(OFFSET($H$3,0,0,'Données projet'!$E$11+1,1))</f>
        <v>279.49721661620544</v>
      </c>
      <c r="BJ38" s="59">
        <f t="shared" si="38"/>
        <v>275.18739333988754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35</v>
      </c>
      <c r="BM38" s="16">
        <f>IF(ISNA(VLOOKUP(A38,'Données projet'!$A$87:$I$107,5,0)),0%,VLOOKUP(A38,'Données projet'!$A$87:$I$107,5,0)*VLOOKUP('Données projet'!$B$11,Paramètres!$A$1:$I$89,7,0))</f>
        <v>0.53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16.314951939891504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16.314951939891504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172</v>
      </c>
      <c r="BW38" s="12">
        <f>VLOOKUP(A38,'Données projet'!$A$113:$I$133,9,0)</f>
        <v>10.8</v>
      </c>
      <c r="BX38" s="12">
        <f t="array" ref="BX38">INDEX(BW:BW,MIN(IF(ISNUMBER(BW38:BW234),ROW(BW38:BW234),"")))</f>
        <v>10.8</v>
      </c>
      <c r="BY38" s="12">
        <f>IF('Données projet'!$A$114&gt;35,BY37+BX38-CG37,IF(A38&lt;'Données projet'!$A$114,$BV$205^A38,IF(A38='Données projet'!$A$114,'Données projet'!$B$114,BY37+BX38-CG37)))</f>
        <v>172.00000000000003</v>
      </c>
      <c r="BZ38" s="13">
        <f>BY38*VLOOKUP('Données projet'!$B$12,Paramètres!$A$1:$I$89,3,0)*VLOOKUP('Données projet'!$B$12,Paramètres!$A$1:$I$89,5,0)</f>
        <v>166.35840000000002</v>
      </c>
      <c r="CA38" s="13">
        <f t="shared" si="39"/>
        <v>42.27340131152765</v>
      </c>
      <c r="CB38" s="20">
        <f t="shared" si="10"/>
        <v>363.3670539509107</v>
      </c>
      <c r="CC38" s="59">
        <f t="shared" si="11"/>
        <v>656.70038728424402</v>
      </c>
      <c r="CD38" s="59">
        <f ca="1">AVERAGE(OFFSET($CC$3,0,0,'Données projet'!$E$12+1,1))-AVERAGE(OFFSET($H$3,0,0,'Données projet'!$E$12+1,1))</f>
        <v>281.84871057356037</v>
      </c>
      <c r="CE38" s="59">
        <f t="shared" si="40"/>
        <v>276.02211904126887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28</v>
      </c>
      <c r="CH38" s="16">
        <f>IF(ISNA(VLOOKUP(A38,'Données projet'!$A$113:$I$133,5,0)),0%,VLOOKUP(A38,'Données projet'!$A$113:$I$133,5,0)*VLOOKUP('Données projet'!$B$12,Paramètres!$A$1:$I$89,7,0))</f>
        <v>0.43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12.873299851054602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12.873299851054602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206</v>
      </c>
      <c r="CR38" s="12">
        <f>VLOOKUP(A38,'Données projet'!$A$139:$I$159,9,0)</f>
        <v>12.8</v>
      </c>
      <c r="CS38" s="12">
        <f t="array" ref="CS38">INDEX(CR:CR,MIN(IF(ISNUMBER(CR38:CR234),ROW(CR38:CR234),"")))</f>
        <v>12.8</v>
      </c>
      <c r="CT38" s="12">
        <f>IF('Données projet'!$A$140&gt;35,CT37+CS38-DB37,IF(A38&lt;'Données projet'!$A$140,$CQ$205^A38,IF(A38='Données projet'!$A$140,'Données projet'!$B$140,CT37+CS38-DB37)))</f>
        <v>205.99999999999997</v>
      </c>
      <c r="CU38" s="17">
        <f>CT38*VLOOKUP('Données projet'!$B$13,Paramètres!$A$1:$I$89,3,0)*VLOOKUP('Données projet'!$B$13,Paramètres!$A$1:$I$89,5,0)</f>
        <v>163.89359999999999</v>
      </c>
      <c r="CV38" s="13">
        <f t="shared" si="41"/>
        <v>41.71949506642347</v>
      </c>
      <c r="CW38" s="20">
        <f t="shared" si="13"/>
        <v>358.10947390735419</v>
      </c>
      <c r="CX38" s="59">
        <f t="shared" si="14"/>
        <v>651.44280724068744</v>
      </c>
      <c r="CY38" s="59">
        <f ca="1">AVERAGE(OFFSET($CX$3,0,0,'Données projet'!$E$13+1,1))-AVERAGE(OFFSET($H$3,0,0,'Données projet'!$E$13+1,1))</f>
        <v>279.49721661620544</v>
      </c>
      <c r="CZ38" s="59">
        <f t="shared" si="42"/>
        <v>275.18739333988754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35</v>
      </c>
      <c r="DC38" s="16">
        <f>IF(ISNA(VLOOKUP(A38,'Données projet'!$A$139:$I$159,5,0)),0%,VLOOKUP(A38,'Données projet'!$A$139:$I$159,5,0)*VLOOKUP('Données projet'!$B$13,Paramètres!$A$1:$I$89,7,0))</f>
        <v>0.53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16.314951939891504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16.314951939891504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116</v>
      </c>
      <c r="DM38" s="12">
        <f>VLOOKUP(A38,'Données projet'!$A$165:$I$185,9,0)</f>
        <v>8</v>
      </c>
      <c r="DN38" s="12">
        <f t="array" ref="DN38">INDEX(DM:DM,MIN(IF(ISNUMBER(DM38:DM234),ROW(DM38:DM234),"")))</f>
        <v>8</v>
      </c>
      <c r="DO38" s="12">
        <f>IF('Données projet'!$A$166&gt;35,DO37+DN38-DW37,IF(A38&lt;'Données projet'!$A$166,$DL$205^A38,IF(A38='Données projet'!$A$166,'Données projet'!$B$166,DO37+DN38-DW37)))</f>
        <v>116</v>
      </c>
      <c r="DP38" s="17">
        <f>DO38*VLOOKUP('Données projet'!$B$14,Paramètres!$A$1:$I$89,3,0)*VLOOKUP('Données projet'!$B$14,Paramètres!$A$1:$I$89,5,0)</f>
        <v>117.62400000000001</v>
      </c>
      <c r="DQ38" s="13">
        <f t="shared" si="43"/>
        <v>31.120192961985413</v>
      </c>
      <c r="DR38" s="20">
        <f t="shared" si="16"/>
        <v>259.06280274212457</v>
      </c>
      <c r="DS38" s="59">
        <f t="shared" si="17"/>
        <v>552.39613607545789</v>
      </c>
      <c r="DT38" s="59">
        <f ca="1">AVERAGE(OFFSET($DS$3,0,0,'Données projet'!$E$14+1,1))-AVERAGE(OFFSET($H$3,0,0,'Données projet'!$E$14+1,1))</f>
        <v>308.80022073574963</v>
      </c>
      <c r="DU38" s="59">
        <f t="shared" si="44"/>
        <v>183.96267407004115</v>
      </c>
      <c r="DV38" s="15">
        <f>IF(ISNA(VLOOKUP(A38,'Données projet'!$A$165:$I$185,3,0)),0,VLOOKUP(A38,'Données projet'!$A$165:$I$185,3,0))</f>
        <v>3</v>
      </c>
      <c r="DW38" s="15">
        <f>IF(ISNA(VLOOKUP(A38,'Données projet'!$A$165:$I$185,4,0)),0,VLOOKUP(A38,'Données projet'!$A$165:$I$185,4,0))</f>
        <v>21</v>
      </c>
      <c r="DX38" s="16">
        <f>IF(ISNA(VLOOKUP(A38,'Données projet'!$A$165:$I$185,5,0)),0%,VLOOKUP(A38,'Données projet'!$A$165:$I$185,5,0)*VLOOKUP('Données projet'!$B$14,Paramètres!$A$1:$I$89,7,0))</f>
        <v>0.43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10.122151092563096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10.122151092563096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172</v>
      </c>
      <c r="EH38" s="12">
        <f>VLOOKUP(A38,'Données projet'!$A$191:$I$211,9,0)</f>
        <v>10.8</v>
      </c>
      <c r="EI38" s="12">
        <f t="array" ref="EI38">INDEX(EH:EH,MIN(IF(ISNUMBER(EH38:EH234),ROW(EH38:EH234),"")))</f>
        <v>10.8</v>
      </c>
      <c r="EJ38" s="12">
        <f>IF('Données projet'!$A$192&gt;35,EJ37+EI38-ER37,IF(A38&lt;'Données projet'!$A$192,$EG$205^A38,IF(A38='Données projet'!$A$192,'Données projet'!$B$192,EJ37+EI38-ER37)))</f>
        <v>172.00000000000003</v>
      </c>
      <c r="EK38" s="17">
        <f>EJ38*VLOOKUP('Données projet'!$B$15,Paramètres!$A$1:$I$89,3,0)*VLOOKUP('Données projet'!$B$15,Paramètres!$A$1:$I$89,5,0)</f>
        <v>112.69440000000002</v>
      </c>
      <c r="EL38" s="13">
        <f t="shared" si="45"/>
        <v>29.964909381330632</v>
      </c>
      <c r="EM38" s="20">
        <f t="shared" si="19"/>
        <v>248.46496383915087</v>
      </c>
      <c r="EN38" s="59">
        <f t="shared" si="20"/>
        <v>541.79829717248413</v>
      </c>
      <c r="EO38" s="59">
        <f ca="1">AVERAGE(OFFSET($EN$3,0,0,'Données projet'!$E$15+1,1))-AVERAGE(OFFSET($H$3,0,0,'Données projet'!$E$15+1,1))</f>
        <v>178.71569711875242</v>
      </c>
      <c r="EP38" s="59">
        <f t="shared" si="46"/>
        <v>178.13848582064168</v>
      </c>
      <c r="EQ38" s="15">
        <f>IF(ISNA(VLOOKUP(A38,'Données projet'!$A$191:$I$211,3,0)),0,VLOOKUP(A38,'Données projet'!$A$191:$I$211,3,0))</f>
        <v>5</v>
      </c>
      <c r="ER38" s="15">
        <f>IF(ISNA(VLOOKUP(A38,'Données projet'!$A$191:$I$211,4,0)),0,VLOOKUP(A38,'Données projet'!$A$191:$I$211,4,0))</f>
        <v>28</v>
      </c>
      <c r="ES38" s="16">
        <f>IF(ISNA(VLOOKUP(A38,'Données projet'!$A$191:$I$211,5,0)),0%,VLOOKUP(A38,'Données projet'!$A$191:$I$211,5,0)*VLOOKUP('Données projet'!$B$15,Paramètres!$A$1:$I$89,7,0))</f>
        <v>0.43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8.720622479746666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8.720622479746666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116</v>
      </c>
      <c r="FC38" s="12">
        <f>VLOOKUP(A38,'Données projet'!$A$217:$I$237,9,0)</f>
        <v>8</v>
      </c>
      <c r="FD38" s="12">
        <f t="array" ref="FD38">INDEX(FC:FC,MIN(IF(ISNUMBER(FC38:FC234),ROW(FC38:FC234),"")))</f>
        <v>8</v>
      </c>
      <c r="FE38" s="12">
        <f>IF('Données projet'!$A$218&gt;35,FE37+FD38-FM37,IF(A38&lt;'Données projet'!$A$218,$FB$205^A38,IF(A38='Données projet'!$A$218,'Données projet'!$B$218,FE37+FD38-FM37)))</f>
        <v>116</v>
      </c>
      <c r="FF38" s="17">
        <f>FE38*VLOOKUP('Données projet'!$B$16,Paramètres!$A$1:$I$89,3,0)*VLOOKUP('Données projet'!$B$16,Paramètres!$A$1:$I$89,5,0)</f>
        <v>97.718400000000003</v>
      </c>
      <c r="FG38" s="13">
        <f t="shared" si="47"/>
        <v>26.417709819192194</v>
      </c>
      <c r="FH38" s="20">
        <f t="shared" si="22"/>
        <v>216.20372460175975</v>
      </c>
      <c r="FI38" s="59">
        <f t="shared" si="23"/>
        <v>509.53705793509306</v>
      </c>
      <c r="FJ38" s="59">
        <f ca="1">AVERAGE(OFFSET($FI$3,0,0,'Données projet'!$E$16+1,1))-AVERAGE(OFFSET($H$3,0,0,'Données projet'!$E$16+1,1))</f>
        <v>247.22536892257716</v>
      </c>
      <c r="FK38" s="59">
        <f t="shared" si="48"/>
        <v>147.97952262756075</v>
      </c>
      <c r="FL38" s="15">
        <f>IF(ISNA(VLOOKUP(A38,'Données projet'!$A$217:$I$237,3,0)),0,VLOOKUP(A38,'Données projet'!$A$217:$I$237,3,0))</f>
        <v>3</v>
      </c>
      <c r="FM38" s="15">
        <f>IF(ISNA(VLOOKUP(A38,'Données projet'!$A$217:$I$237,4,0)),0,VLOOKUP(A38,'Données projet'!$A$217:$I$237,4,0))</f>
        <v>21</v>
      </c>
      <c r="FN38" s="16">
        <f>IF(ISNA(VLOOKUP(A38,'Données projet'!$A$217:$I$237,5,0)),0%,VLOOKUP(A38,'Données projet'!$A$217:$I$237,5,0)*VLOOKUP('Données projet'!$B$16,Paramètres!$A$1:$I$89,7,0))</f>
        <v>0.43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8.4091716768985698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8.4091716768985698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6">
        <f t="shared" si="1"/>
        <v>333.46465593362842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10.8</v>
      </c>
      <c r="N39" s="13">
        <f>IF('Données projet'!$A$36&gt;35,N38+M39-V38,IF(A39&lt;'Données projet'!$A$36,$K$205^A39,IF(A39='Données projet'!$A$36,'Données projet'!$B$36,N38+M39-V38)))</f>
        <v>169.79999999999998</v>
      </c>
      <c r="O39" s="13">
        <f>N39*VLOOKUP('Données projet'!$B$9,Paramètres!$A$1:$I$89,3,0)*VLOOKUP('Données projet'!$B$9,Paramètres!$A$1:$I$89,5,0)</f>
        <v>148.33727999999999</v>
      </c>
      <c r="P39" s="13">
        <f t="shared" si="33"/>
        <v>38.200481752654802</v>
      </c>
      <c r="Q39" s="20">
        <f t="shared" si="53"/>
        <v>324.88660171920714</v>
      </c>
      <c r="R39" s="59">
        <f t="shared" si="0"/>
        <v>618.21993505254045</v>
      </c>
      <c r="S39" s="59">
        <f ca="1">AVERAGE(OFFSET($R$3,0,0,'Données projet'!$E$9+1,1))-AVERAGE(OFFSET($H$3,0,0,'Données projet'!$E$9+1,1))</f>
        <v>253.73326067725128</v>
      </c>
      <c r="T39" s="59">
        <f t="shared" si="34"/>
        <v>317.76427047458026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17.099232783946672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17.099232783946672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25</v>
      </c>
      <c r="AI39" s="13">
        <f>IF('Données projet'!$A$62&gt;35,AI38+AH39-AQ38,IF(A39&lt;'Données projet'!$A$62,$AF$205^A39,IF(A39='Données projet'!$A$62,'Données projet'!$B$62,AI38+AH39-AQ38)))</f>
        <v>336.00000000000006</v>
      </c>
      <c r="AJ39" s="13">
        <f>AI39*VLOOKUP('Données projet'!$B$10,Paramètres!$A$1:$I$89,3,0)*VLOOKUP('Données projet'!$B$10,Paramètres!$A$1:$I$89,5,0)</f>
        <v>161.61600000000004</v>
      </c>
      <c r="AK39" s="13">
        <f t="shared" si="35"/>
        <v>41.20679526204917</v>
      </c>
      <c r="AL39" s="20">
        <f t="shared" si="4"/>
        <v>353.24970174806907</v>
      </c>
      <c r="AM39" s="59">
        <f t="shared" si="5"/>
        <v>646.58303508140239</v>
      </c>
      <c r="AN39" s="59">
        <f ca="1">AVERAGE(OFFSET($AM$3,0,0,'Données projet'!$E$10+1,1))-AVERAGE(OFFSET($H$3,0,0,'Données projet'!$E$10+1,1))</f>
        <v>349.65790906807746</v>
      </c>
      <c r="AO39" s="59">
        <f t="shared" si="36"/>
        <v>291.88925884278888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21.675833917357643</v>
      </c>
      <c r="AV39" s="21">
        <f>EXP(-LN(2)/25)*AV38+(1-EXP(-LN(2)/25))/(LN(2)/25)*Calculateur!AQ39*Calculateur!AS39*VLOOKUP('Données projet'!$B$10,Paramètres!$A$1:$I$89,3,0)*0.475*44/12</f>
        <v>34.880730112065123</v>
      </c>
      <c r="AW39" s="21">
        <f>EXP(-LN(2)/2)*AW38+(1-EXP(-LN(2)/2))/(LN(2)/2)*AQ39*AT39*VLOOKUP('Données projet'!$B$10,Paramètres!$A$1:$I$89,3,0)*0.475*44/12</f>
        <v>6.3820750208230118E-3</v>
      </c>
      <c r="AX39" s="21">
        <f t="shared" si="6"/>
        <v>56.56294610444359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11.4</v>
      </c>
      <c r="BD39" s="12">
        <f>IF('Données projet'!$A$88&gt;35,BD38+BC39-BL38,IF(A39&lt;'Données projet'!$A$88,$BA$205^A39,IF(A39='Données projet'!$A$88,'Données projet'!$B$88,BD38+BC39-BL38)))</f>
        <v>182.39999999999998</v>
      </c>
      <c r="BE39" s="13">
        <f>BD39*VLOOKUP('Données projet'!$B$11,Paramètres!$A$1:$I$89,3,0)*VLOOKUP('Données projet'!$B$11,Paramètres!$A$1:$I$89,5,0)</f>
        <v>145.11743999999999</v>
      </c>
      <c r="BF39" s="13">
        <f t="shared" si="37"/>
        <v>37.466878406916173</v>
      </c>
      <c r="BG39" s="20">
        <f t="shared" si="7"/>
        <v>318.00102122537896</v>
      </c>
      <c r="BH39" s="59">
        <f t="shared" si="8"/>
        <v>611.33435455871222</v>
      </c>
      <c r="BI39" s="59">
        <f ca="1">AVERAGE(OFFSET($BH$3,0,0,'Données projet'!$E$11+1,1))-AVERAGE(OFFSET($H$3,0,0,'Données projet'!$E$11+1,1))</f>
        <v>279.49721661620544</v>
      </c>
      <c r="BJ39" s="59">
        <f t="shared" si="38"/>
        <v>275.18739333988754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15.995025683488322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15.995025683488322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9.6</v>
      </c>
      <c r="BY39" s="12">
        <f>IF('Données projet'!$A$114&gt;35,BY38+BX39-CG38,IF(A39&lt;'Données projet'!$A$114,$BV$205^A39,IF(A39='Données projet'!$A$114,'Données projet'!$B$114,BY38+BX39-CG38)))</f>
        <v>153.60000000000002</v>
      </c>
      <c r="BZ39" s="13">
        <f>BY39*VLOOKUP('Données projet'!$B$12,Paramètres!$A$1:$I$89,3,0)*VLOOKUP('Données projet'!$B$12,Paramètres!$A$1:$I$89,5,0)</f>
        <v>148.56192000000001</v>
      </c>
      <c r="CA39" s="13">
        <f t="shared" si="39"/>
        <v>38.251593775426244</v>
      </c>
      <c r="CB39" s="20">
        <f t="shared" si="10"/>
        <v>325.36686982553408</v>
      </c>
      <c r="CC39" s="59">
        <f t="shared" si="11"/>
        <v>618.70020315886745</v>
      </c>
      <c r="CD39" s="59">
        <f ca="1">AVERAGE(OFFSET($CC$3,0,0,'Données projet'!$E$12+1,1))-AVERAGE(OFFSET($H$3,0,0,'Données projet'!$E$12+1,1))</f>
        <v>281.84871057356037</v>
      </c>
      <c r="CE39" s="59">
        <f t="shared" si="40"/>
        <v>276.02211904126887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12.620862292913015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12.620862292913015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11.4</v>
      </c>
      <c r="CT39" s="12">
        <f>IF('Données projet'!$A$140&gt;35,CT38+CS39-DB38,IF(A39&lt;'Données projet'!$A$140,$CQ$205^A39,IF(A39='Données projet'!$A$140,'Données projet'!$B$140,CT38+CS39-DB38)))</f>
        <v>182.39999999999998</v>
      </c>
      <c r="CU39" s="17">
        <f>CT39*VLOOKUP('Données projet'!$B$13,Paramètres!$A$1:$I$89,3,0)*VLOOKUP('Données projet'!$B$13,Paramètres!$A$1:$I$89,5,0)</f>
        <v>145.11743999999999</v>
      </c>
      <c r="CV39" s="13">
        <f t="shared" si="41"/>
        <v>37.466878406916173</v>
      </c>
      <c r="CW39" s="20">
        <f t="shared" si="13"/>
        <v>318.00102122537896</v>
      </c>
      <c r="CX39" s="59">
        <f t="shared" si="14"/>
        <v>611.33435455871222</v>
      </c>
      <c r="CY39" s="59">
        <f ca="1">AVERAGE(OFFSET($CX$3,0,0,'Données projet'!$E$13+1,1))-AVERAGE(OFFSET($H$3,0,0,'Données projet'!$E$13+1,1))</f>
        <v>279.49721661620544</v>
      </c>
      <c r="CZ39" s="59">
        <f t="shared" si="42"/>
        <v>275.18739333988754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15.995025683488322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15.995025683488322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8.4</v>
      </c>
      <c r="DO39" s="12">
        <f>IF('Données projet'!$A$166&gt;35,DO38+DN39-DW38,IF(A39&lt;'Données projet'!$A$166,$DL$205^A39,IF(A39='Données projet'!$A$166,'Données projet'!$B$166,DO38+DN39-DW38)))</f>
        <v>103.4</v>
      </c>
      <c r="DP39" s="17">
        <f>DO39*VLOOKUP('Données projet'!$B$14,Paramètres!$A$1:$I$89,3,0)*VLOOKUP('Données projet'!$B$14,Paramètres!$A$1:$I$89,5,0)</f>
        <v>104.84760000000001</v>
      </c>
      <c r="DQ39" s="13">
        <f t="shared" si="43"/>
        <v>28.113670466115643</v>
      </c>
      <c r="DR39" s="20">
        <f t="shared" si="16"/>
        <v>231.57421272848475</v>
      </c>
      <c r="DS39" s="59">
        <f t="shared" si="17"/>
        <v>524.90754606181804</v>
      </c>
      <c r="DT39" s="59">
        <f ca="1">AVERAGE(OFFSET($DS$3,0,0,'Données projet'!$E$14+1,1))-AVERAGE(OFFSET($H$3,0,0,'Données projet'!$E$14+1,1))</f>
        <v>308.80022073574963</v>
      </c>
      <c r="DU39" s="59">
        <f t="shared" si="44"/>
        <v>183.96267407004115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9.9236618835404773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9.9236618835404773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9.6</v>
      </c>
      <c r="EJ39" s="12">
        <f>IF('Données projet'!$A$192&gt;35,EJ38+EI39-ER38,IF(A39&lt;'Données projet'!$A$192,$EG$205^A39,IF(A39='Données projet'!$A$192,'Données projet'!$B$192,EJ38+EI39-ER38)))</f>
        <v>153.60000000000002</v>
      </c>
      <c r="EK39" s="17">
        <f>EJ39*VLOOKUP('Données projet'!$B$15,Paramètres!$A$1:$I$89,3,0)*VLOOKUP('Données projet'!$B$15,Paramètres!$A$1:$I$89,5,0)</f>
        <v>100.63872000000001</v>
      </c>
      <c r="EL39" s="13">
        <f t="shared" si="45"/>
        <v>27.114107349094599</v>
      </c>
      <c r="EM39" s="20">
        <f t="shared" si="19"/>
        <v>222.50284096633973</v>
      </c>
      <c r="EN39" s="59">
        <f t="shared" si="20"/>
        <v>515.83617429967308</v>
      </c>
      <c r="EO39" s="59">
        <f ca="1">AVERAGE(OFFSET($EN$3,0,0,'Données projet'!$E$15+1,1))-AVERAGE(OFFSET($H$3,0,0,'Données projet'!$E$15+1,1))</f>
        <v>178.71569711875242</v>
      </c>
      <c r="EP39" s="59">
        <f t="shared" si="46"/>
        <v>178.13848582064168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8.5496163919733341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8.5496163919733341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8.4</v>
      </c>
      <c r="FE39" s="12">
        <f>IF('Données projet'!$A$218&gt;35,FE38+FD39-FM38,IF(A39&lt;'Données projet'!$A$218,$FB$205^A39,IF(A39='Données projet'!$A$218,'Données projet'!$B$218,FE38+FD39-FM38)))</f>
        <v>103.4</v>
      </c>
      <c r="FF39" s="17">
        <f>FE39*VLOOKUP('Données projet'!$B$16,Paramètres!$A$1:$I$89,3,0)*VLOOKUP('Données projet'!$B$16,Paramètres!$A$1:$I$89,5,0)</f>
        <v>87.104160000000007</v>
      </c>
      <c r="FG39" s="13">
        <f t="shared" si="47"/>
        <v>23.865494318543401</v>
      </c>
      <c r="FH39" s="20">
        <f t="shared" si="22"/>
        <v>193.27214793812973</v>
      </c>
      <c r="FI39" s="59">
        <f t="shared" si="23"/>
        <v>486.60548127146308</v>
      </c>
      <c r="FJ39" s="59">
        <f ca="1">AVERAGE(OFFSET($FI$3,0,0,'Données projet'!$E$16+1,1))-AVERAGE(OFFSET($H$3,0,0,'Données projet'!$E$16+1,1))</f>
        <v>247.22536892257716</v>
      </c>
      <c r="FK39" s="59">
        <f t="shared" si="48"/>
        <v>147.97952262756075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8.2442729494028555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8.2442729494028555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6">
        <f t="shared" si="1"/>
        <v>334.54677839758983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10.8</v>
      </c>
      <c r="N40" s="13">
        <f>IF('Données projet'!$A$36&gt;35,N39+M40-V39,IF(A40&lt;'Données projet'!$A$36,$K$205^A40,IF(A40='Données projet'!$A$36,'Données projet'!$B$36,N39+M40-V39)))</f>
        <v>180.6</v>
      </c>
      <c r="O40" s="13">
        <f>N40*VLOOKUP('Données projet'!$B$9,Paramètres!$A$1:$I$89,3,0)*VLOOKUP('Données projet'!$B$9,Paramètres!$A$1:$I$89,5,0)</f>
        <v>157.77216000000001</v>
      </c>
      <c r="P40" s="13">
        <f t="shared" si="33"/>
        <v>40.339610539653599</v>
      </c>
      <c r="Q40" s="20">
        <f t="shared" si="53"/>
        <v>345.04466702323003</v>
      </c>
      <c r="R40" s="59">
        <f t="shared" si="0"/>
        <v>638.37800035656335</v>
      </c>
      <c r="S40" s="59">
        <f ca="1">AVERAGE(OFFSET($R$3,0,0,'Données projet'!$E$9+1,1))-AVERAGE(OFFSET($H$3,0,0,'Données projet'!$E$9+1,1))</f>
        <v>253.73326067725128</v>
      </c>
      <c r="T40" s="59">
        <f t="shared" si="34"/>
        <v>317.76427047458026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16.763927258555647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16.763927258555647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25</v>
      </c>
      <c r="AI40" s="13">
        <f>IF('Données projet'!$A$62&gt;35,AI39+AH40-AQ39,IF(A40&lt;'Données projet'!$A$62,$AF$205^A40,IF(A40='Données projet'!$A$62,'Données projet'!$B$62,AI39+AH40-AQ39)))</f>
        <v>361.00000000000006</v>
      </c>
      <c r="AJ40" s="13">
        <f>AI40*VLOOKUP('Données projet'!$B$10,Paramètres!$A$1:$I$89,3,0)*VLOOKUP('Données projet'!$B$10,Paramètres!$A$1:$I$89,5,0)</f>
        <v>173.64100000000005</v>
      </c>
      <c r="AK40" s="13">
        <f t="shared" si="35"/>
        <v>43.90447799582666</v>
      </c>
      <c r="AL40" s="20">
        <f t="shared" si="4"/>
        <v>378.8917075093982</v>
      </c>
      <c r="AM40" s="59">
        <f t="shared" si="5"/>
        <v>672.22504084273146</v>
      </c>
      <c r="AN40" s="59">
        <f ca="1">AVERAGE(OFFSET($AM$3,0,0,'Données projet'!$E$10+1,1))-AVERAGE(OFFSET($H$3,0,0,'Données projet'!$E$10+1,1))</f>
        <v>349.65790906807746</v>
      </c>
      <c r="AO40" s="59">
        <f t="shared" si="36"/>
        <v>291.88925884278888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21.25078403519149</v>
      </c>
      <c r="AV40" s="21">
        <f>EXP(-LN(2)/25)*AV39+(1-EXP(-LN(2)/25))/(LN(2)/25)*Calculateur!AQ40*Calculateur!AS40*VLOOKUP('Données projet'!$B$10,Paramètres!$A$1:$I$89,3,0)*0.475*44/12</f>
        <v>33.926914712852827</v>
      </c>
      <c r="AW40" s="21">
        <f>EXP(-LN(2)/2)*AW39+(1-EXP(-LN(2)/2))/(LN(2)/2)*AQ40*AT40*VLOOKUP('Données projet'!$B$10,Paramètres!$A$1:$I$89,3,0)*0.475*44/12</f>
        <v>4.5128085252652281E-3</v>
      </c>
      <c r="AX40" s="21">
        <f t="shared" si="6"/>
        <v>55.182211556569584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11.4</v>
      </c>
      <c r="BD40" s="12">
        <f>IF('Données projet'!$A$88&gt;35,BD39+BC40-BL39,IF(A40&lt;'Données projet'!$A$88,$BA$205^A40,IF(A40='Données projet'!$A$88,'Données projet'!$B$88,BD39+BC40-BL39)))</f>
        <v>193.79999999999998</v>
      </c>
      <c r="BE40" s="13">
        <f>BD40*VLOOKUP('Données projet'!$B$11,Paramètres!$A$1:$I$89,3,0)*VLOOKUP('Données projet'!$B$11,Paramètres!$A$1:$I$89,5,0)</f>
        <v>154.18727999999999</v>
      </c>
      <c r="BF40" s="13">
        <f t="shared" si="37"/>
        <v>39.528629863903078</v>
      </c>
      <c r="BG40" s="20">
        <f t="shared" si="7"/>
        <v>337.38854301296448</v>
      </c>
      <c r="BH40" s="59">
        <f t="shared" si="8"/>
        <v>630.72187634629779</v>
      </c>
      <c r="BI40" s="59">
        <f ca="1">AVERAGE(OFFSET($BH$3,0,0,'Données projet'!$E$11+1,1))-AVERAGE(OFFSET($H$3,0,0,'Données projet'!$E$11+1,1))</f>
        <v>279.49721661620544</v>
      </c>
      <c r="BJ40" s="59">
        <f t="shared" si="38"/>
        <v>275.18739333988754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15.681372985837458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15.681372985837458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9.6</v>
      </c>
      <c r="BY40" s="12">
        <f>IF('Données projet'!$A$114&gt;35,BY39+BX40-CG39,IF(A40&lt;'Données projet'!$A$114,$BV$205^A40,IF(A40='Données projet'!$A$114,'Données projet'!$B$114,BY39+BX40-CG39)))</f>
        <v>163.20000000000002</v>
      </c>
      <c r="BZ40" s="13">
        <f>BY40*VLOOKUP('Données projet'!$B$12,Paramètres!$A$1:$I$89,3,0)*VLOOKUP('Données projet'!$B$12,Paramètres!$A$1:$I$89,5,0)</f>
        <v>157.84704000000002</v>
      </c>
      <c r="CA40" s="13">
        <f t="shared" si="39"/>
        <v>40.356527053881578</v>
      </c>
      <c r="CB40" s="20">
        <f t="shared" si="10"/>
        <v>345.20454595217711</v>
      </c>
      <c r="CC40" s="59">
        <f t="shared" si="11"/>
        <v>638.53787928551037</v>
      </c>
      <c r="CD40" s="59">
        <f ca="1">AVERAGE(OFFSET($CC$3,0,0,'Données projet'!$E$12+1,1))-AVERAGE(OFFSET($H$3,0,0,'Données projet'!$E$12+1,1))</f>
        <v>281.84871057356037</v>
      </c>
      <c r="CE40" s="59">
        <f t="shared" si="40"/>
        <v>276.02211904126887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12.373374881314879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12.373374881314879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11.4</v>
      </c>
      <c r="CT40" s="12">
        <f>IF('Données projet'!$A$140&gt;35,CT39+CS40-DB39,IF(A40&lt;'Données projet'!$A$140,$CQ$205^A40,IF(A40='Données projet'!$A$140,'Données projet'!$B$140,CT39+CS40-DB39)))</f>
        <v>193.79999999999998</v>
      </c>
      <c r="CU40" s="17">
        <f>CT40*VLOOKUP('Données projet'!$B$13,Paramètres!$A$1:$I$89,3,0)*VLOOKUP('Données projet'!$B$13,Paramètres!$A$1:$I$89,5,0)</f>
        <v>154.18727999999999</v>
      </c>
      <c r="CV40" s="13">
        <f t="shared" si="41"/>
        <v>39.528629863903078</v>
      </c>
      <c r="CW40" s="20">
        <f t="shared" si="13"/>
        <v>337.38854301296448</v>
      </c>
      <c r="CX40" s="59">
        <f t="shared" si="14"/>
        <v>630.72187634629779</v>
      </c>
      <c r="CY40" s="59">
        <f ca="1">AVERAGE(OFFSET($CX$3,0,0,'Données projet'!$E$13+1,1))-AVERAGE(OFFSET($H$3,0,0,'Données projet'!$E$13+1,1))</f>
        <v>279.49721661620544</v>
      </c>
      <c r="CZ40" s="59">
        <f t="shared" si="42"/>
        <v>275.18739333988754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15.681372985837458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15.681372985837458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8.4</v>
      </c>
      <c r="DO40" s="12">
        <f>IF('Données projet'!$A$166&gt;35,DO39+DN40-DW39,IF(A40&lt;'Données projet'!$A$166,$DL$205^A40,IF(A40='Données projet'!$A$166,'Données projet'!$B$166,DO39+DN40-DW39)))</f>
        <v>111.80000000000001</v>
      </c>
      <c r="DP40" s="17">
        <f>DO40*VLOOKUP('Données projet'!$B$14,Paramètres!$A$1:$I$89,3,0)*VLOOKUP('Données projet'!$B$14,Paramètres!$A$1:$I$89,5,0)</f>
        <v>113.36520000000003</v>
      </c>
      <c r="DQ40" s="13">
        <f t="shared" si="43"/>
        <v>30.122456058687614</v>
      </c>
      <c r="DR40" s="20">
        <f t="shared" si="16"/>
        <v>249.9076676355476</v>
      </c>
      <c r="DS40" s="59">
        <f t="shared" si="17"/>
        <v>543.24100096888094</v>
      </c>
      <c r="DT40" s="59">
        <f ca="1">AVERAGE(OFFSET($DS$3,0,0,'Données projet'!$E$14+1,1))-AVERAGE(OFFSET($H$3,0,0,'Données projet'!$E$14+1,1))</f>
        <v>308.80022073574963</v>
      </c>
      <c r="DU40" s="59">
        <f t="shared" si="44"/>
        <v>183.96267407004115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9.72906492684033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9.72906492684033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9.6</v>
      </c>
      <c r="EJ40" s="12">
        <f>IF('Données projet'!$A$192&gt;35,EJ39+EI40-ER39,IF(A40&lt;'Données projet'!$A$192,$EG$205^A40,IF(A40='Données projet'!$A$192,'Données projet'!$B$192,EJ39+EI40-ER39)))</f>
        <v>163.20000000000002</v>
      </c>
      <c r="EK40" s="17">
        <f>EJ40*VLOOKUP('Données projet'!$B$15,Paramètres!$A$1:$I$89,3,0)*VLOOKUP('Données projet'!$B$15,Paramètres!$A$1:$I$89,5,0)</f>
        <v>106.92864000000002</v>
      </c>
      <c r="EL40" s="13">
        <f t="shared" si="45"/>
        <v>28.606159868782942</v>
      </c>
      <c r="EM40" s="20">
        <f t="shared" si="19"/>
        <v>236.05644310479695</v>
      </c>
      <c r="EN40" s="59">
        <f t="shared" si="20"/>
        <v>529.3897764381303</v>
      </c>
      <c r="EO40" s="59">
        <f ca="1">AVERAGE(OFFSET($EN$3,0,0,'Données projet'!$E$15+1,1))-AVERAGE(OFFSET($H$3,0,0,'Données projet'!$E$15+1,1))</f>
        <v>178.71569711875242</v>
      </c>
      <c r="EP40" s="59">
        <f t="shared" si="46"/>
        <v>178.13848582064168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8.3819636292778217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8.3819636292778217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8.4</v>
      </c>
      <c r="FE40" s="12">
        <f>IF('Données projet'!$A$218&gt;35,FE39+FD40-FM39,IF(A40&lt;'Données projet'!$A$218,$FB$205^A40,IF(A40='Données projet'!$A$218,'Données projet'!$B$218,FE39+FD40-FM39)))</f>
        <v>111.80000000000001</v>
      </c>
      <c r="FF40" s="17">
        <f>FE40*VLOOKUP('Données projet'!$B$16,Paramètres!$A$1:$I$89,3,0)*VLOOKUP('Données projet'!$B$16,Paramètres!$A$1:$I$89,5,0)</f>
        <v>94.180320000000009</v>
      </c>
      <c r="FG40" s="13">
        <f t="shared" si="47"/>
        <v>25.570738079029208</v>
      </c>
      <c r="FH40" s="20">
        <f t="shared" si="22"/>
        <v>208.5664261543092</v>
      </c>
      <c r="FI40" s="59">
        <f t="shared" si="23"/>
        <v>501.89975948764254</v>
      </c>
      <c r="FJ40" s="59">
        <f ca="1">AVERAGE(OFFSET($FI$3,0,0,'Données projet'!$E$16+1,1))-AVERAGE(OFFSET($H$3,0,0,'Données projet'!$E$16+1,1))</f>
        <v>247.22536892257716</v>
      </c>
      <c r="FK40" s="59">
        <f t="shared" si="48"/>
        <v>147.97952262756075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8.0826077853750409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8.0826077853750409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6">
        <f t="shared" si="1"/>
        <v>335.62813316205717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10.8</v>
      </c>
      <c r="N41" s="13">
        <f>IF('Données projet'!$A$36&gt;35,N40+M41-V40,IF(A41&lt;'Données projet'!$A$36,$K$205^A41,IF(A41='Données projet'!$A$36,'Données projet'!$B$36,N40+M41-V40)))</f>
        <v>191.4</v>
      </c>
      <c r="O41" s="13">
        <f>N41*VLOOKUP('Données projet'!$B$9,Paramètres!$A$1:$I$89,3,0)*VLOOKUP('Données projet'!$B$9,Paramètres!$A$1:$I$89,5,0)</f>
        <v>167.20704000000003</v>
      </c>
      <c r="P41" s="13">
        <f t="shared" si="33"/>
        <v>42.463891647822834</v>
      </c>
      <c r="Q41" s="20">
        <f t="shared" si="53"/>
        <v>365.17687261995815</v>
      </c>
      <c r="R41" s="59">
        <f t="shared" si="0"/>
        <v>658.51020595329146</v>
      </c>
      <c r="S41" s="59">
        <f ca="1">AVERAGE(OFFSET($R$3,0,0,'Données projet'!$E$9+1,1))-AVERAGE(OFFSET($H$3,0,0,'Données projet'!$E$9+1,1))</f>
        <v>253.73326067725128</v>
      </c>
      <c r="T41" s="59">
        <f t="shared" si="34"/>
        <v>317.76427047458026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16.435196870001366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16.435196870001366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25</v>
      </c>
      <c r="AI41" s="13">
        <f>IF('Données projet'!$A$62&gt;35,AI40+AH41-AQ40,IF(A41&lt;'Données projet'!$A$62,$AF$205^A41,IF(A41='Données projet'!$A$62,'Données projet'!$B$62,AI40+AH41-AQ40)))</f>
        <v>386.00000000000006</v>
      </c>
      <c r="AJ41" s="13">
        <f>AI41*VLOOKUP('Données projet'!$B$10,Paramètres!$A$1:$I$89,3,0)*VLOOKUP('Données projet'!$B$10,Paramètres!$A$1:$I$89,5,0)</f>
        <v>185.66600000000003</v>
      </c>
      <c r="AK41" s="13">
        <f t="shared" si="35"/>
        <v>46.580483994788317</v>
      </c>
      <c r="AL41" s="20">
        <f t="shared" si="4"/>
        <v>404.49595962425639</v>
      </c>
      <c r="AM41" s="59">
        <f t="shared" si="5"/>
        <v>697.8292929575897</v>
      </c>
      <c r="AN41" s="59">
        <f ca="1">AVERAGE(OFFSET($AM$3,0,0,'Données projet'!$E$10+1,1))-AVERAGE(OFFSET($H$3,0,0,'Données projet'!$E$10+1,1))</f>
        <v>349.65790906807746</v>
      </c>
      <c r="AO41" s="59">
        <f t="shared" si="36"/>
        <v>291.88925884278888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20.834069121959786</v>
      </c>
      <c r="AV41" s="21">
        <f>EXP(-LN(2)/25)*AV40+(1-EXP(-LN(2)/25))/(LN(2)/25)*Calculateur!AQ41*Calculateur!AS41*VLOOKUP('Données projet'!$B$10,Paramètres!$A$1:$I$89,3,0)*0.475*44/12</f>
        <v>32.999181445890962</v>
      </c>
      <c r="AW41" s="21">
        <f>EXP(-LN(2)/2)*AW40+(1-EXP(-LN(2)/2))/(LN(2)/2)*AQ41*AT41*VLOOKUP('Données projet'!$B$10,Paramètres!$A$1:$I$89,3,0)*0.475*44/12</f>
        <v>3.1910375104115059E-3</v>
      </c>
      <c r="AX41" s="21">
        <f t="shared" si="6"/>
        <v>53.836441605361159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11.4</v>
      </c>
      <c r="BD41" s="12">
        <f>IF('Données projet'!$A$88&gt;35,BD40+BC41-BL40,IF(A41&lt;'Données projet'!$A$88,$BA$205^A41,IF(A41='Données projet'!$A$88,'Données projet'!$B$88,BD40+BC41-BL40)))</f>
        <v>205.2</v>
      </c>
      <c r="BE41" s="13">
        <f>BD41*VLOOKUP('Données projet'!$B$11,Paramètres!$A$1:$I$89,3,0)*VLOOKUP('Données projet'!$B$11,Paramètres!$A$1:$I$89,5,0)</f>
        <v>163.25712000000001</v>
      </c>
      <c r="BF41" s="13">
        <f t="shared" si="37"/>
        <v>41.576304038313076</v>
      </c>
      <c r="BG41" s="20">
        <f t="shared" si="7"/>
        <v>356.75154686672863</v>
      </c>
      <c r="BH41" s="59">
        <f t="shared" si="8"/>
        <v>650.08488020006189</v>
      </c>
      <c r="BI41" s="59">
        <f ca="1">AVERAGE(OFFSET($BH$3,0,0,'Données projet'!$E$11+1,1))-AVERAGE(OFFSET($H$3,0,0,'Données projet'!$E$11+1,1))</f>
        <v>279.49721661620544</v>
      </c>
      <c r="BJ41" s="59">
        <f t="shared" si="38"/>
        <v>275.18739333988754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15.373870826278271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15.373870826278271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9.6</v>
      </c>
      <c r="BY41" s="12">
        <f>IF('Données projet'!$A$114&gt;35,BY40+BX41-CG40,IF(A41&lt;'Données projet'!$A$114,$BV$205^A41,IF(A41='Données projet'!$A$114,'Données projet'!$B$114,BY40+BX41-CG40)))</f>
        <v>172.8</v>
      </c>
      <c r="BZ41" s="13">
        <f>BY41*VLOOKUP('Données projet'!$B$12,Paramètres!$A$1:$I$89,3,0)*VLOOKUP('Données projet'!$B$12,Paramètres!$A$1:$I$89,5,0)</f>
        <v>167.13216000000003</v>
      </c>
      <c r="CA41" s="13">
        <f t="shared" si="39"/>
        <v>42.447088211746923</v>
      </c>
      <c r="CB41" s="20">
        <f t="shared" si="10"/>
        <v>365.01719063545926</v>
      </c>
      <c r="CC41" s="59">
        <f t="shared" si="11"/>
        <v>658.35052396879257</v>
      </c>
      <c r="CD41" s="59">
        <f ca="1">AVERAGE(OFFSET($CC$3,0,0,'Données projet'!$E$12+1,1))-AVERAGE(OFFSET($H$3,0,0,'Données projet'!$E$12+1,1))</f>
        <v>281.84871057356037</v>
      </c>
      <c r="CE41" s="59">
        <f t="shared" si="40"/>
        <v>276.02211904126887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12.130740546905766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12.130740546905766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11.4</v>
      </c>
      <c r="CT41" s="12">
        <f>IF('Données projet'!$A$140&gt;35,CT40+CS41-DB40,IF(A41&lt;'Données projet'!$A$140,$CQ$205^A41,IF(A41='Données projet'!$A$140,'Données projet'!$B$140,CT40+CS41-DB40)))</f>
        <v>205.2</v>
      </c>
      <c r="CU41" s="17">
        <f>CT41*VLOOKUP('Données projet'!$B$13,Paramètres!$A$1:$I$89,3,0)*VLOOKUP('Données projet'!$B$13,Paramètres!$A$1:$I$89,5,0)</f>
        <v>163.25712000000001</v>
      </c>
      <c r="CV41" s="13">
        <f t="shared" si="41"/>
        <v>41.576304038313076</v>
      </c>
      <c r="CW41" s="20">
        <f t="shared" si="13"/>
        <v>356.75154686672863</v>
      </c>
      <c r="CX41" s="59">
        <f t="shared" si="14"/>
        <v>650.08488020006189</v>
      </c>
      <c r="CY41" s="59">
        <f ca="1">AVERAGE(OFFSET($CX$3,0,0,'Données projet'!$E$13+1,1))-AVERAGE(OFFSET($H$3,0,0,'Données projet'!$E$13+1,1))</f>
        <v>279.49721661620544</v>
      </c>
      <c r="CZ41" s="59">
        <f t="shared" si="42"/>
        <v>275.18739333988754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15.373870826278271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15.373870826278271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8.4</v>
      </c>
      <c r="DO41" s="12">
        <f>IF('Données projet'!$A$166&gt;35,DO40+DN41-DW40,IF(A41&lt;'Données projet'!$A$166,$DL$205^A41,IF(A41='Données projet'!$A$166,'Données projet'!$B$166,DO40+DN41-DW40)))</f>
        <v>120.20000000000002</v>
      </c>
      <c r="DP41" s="17">
        <f>DO41*VLOOKUP('Données projet'!$B$14,Paramètres!$A$1:$I$89,3,0)*VLOOKUP('Données projet'!$B$14,Paramètres!$A$1:$I$89,5,0)</f>
        <v>121.88280000000002</v>
      </c>
      <c r="DQ41" s="13">
        <f t="shared" si="43"/>
        <v>32.113732800054677</v>
      </c>
      <c r="DR41" s="20">
        <f t="shared" si="16"/>
        <v>268.21062796009522</v>
      </c>
      <c r="DS41" s="59">
        <f t="shared" si="17"/>
        <v>561.54396129342854</v>
      </c>
      <c r="DT41" s="59">
        <f ca="1">AVERAGE(OFFSET($DS$3,0,0,'Données projet'!$E$14+1,1))-AVERAGE(OFFSET($H$3,0,0,'Données projet'!$E$14+1,1))</f>
        <v>308.80022073574963</v>
      </c>
      <c r="DU41" s="59">
        <f t="shared" si="44"/>
        <v>183.96267407004115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9.5382838977686486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9.5382838977686486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9.6</v>
      </c>
      <c r="EJ41" s="12">
        <f>IF('Données projet'!$A$192&gt;35,EJ40+EI41-ER40,IF(A41&lt;'Données projet'!$A$192,$EG$205^A41,IF(A41='Données projet'!$A$192,'Données projet'!$B$192,EJ40+EI41-ER40)))</f>
        <v>172.8</v>
      </c>
      <c r="EK41" s="17">
        <f>EJ41*VLOOKUP('Données projet'!$B$15,Paramètres!$A$1:$I$89,3,0)*VLOOKUP('Données projet'!$B$15,Paramètres!$A$1:$I$89,5,0)</f>
        <v>113.21856000000001</v>
      </c>
      <c r="EL41" s="13">
        <f t="shared" si="45"/>
        <v>30.088024911766389</v>
      </c>
      <c r="EM41" s="20">
        <f t="shared" si="19"/>
        <v>249.59230205465977</v>
      </c>
      <c r="EN41" s="59">
        <f t="shared" si="20"/>
        <v>542.92563538799311</v>
      </c>
      <c r="EO41" s="59">
        <f ca="1">AVERAGE(OFFSET($EN$3,0,0,'Données projet'!$E$15+1,1))-AVERAGE(OFFSET($H$3,0,0,'Données projet'!$E$15+1,1))</f>
        <v>178.71569711875242</v>
      </c>
      <c r="EP41" s="59">
        <f t="shared" si="46"/>
        <v>178.13848582064168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8.2175984350006814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8.2175984350006814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8.4</v>
      </c>
      <c r="FE41" s="12">
        <f>IF('Données projet'!$A$218&gt;35,FE40+FD41-FM40,IF(A41&lt;'Données projet'!$A$218,$FB$205^A41,IF(A41='Données projet'!$A$218,'Données projet'!$B$218,FE40+FD41-FM40)))</f>
        <v>120.20000000000002</v>
      </c>
      <c r="FF41" s="17">
        <f>FE41*VLOOKUP('Données projet'!$B$16,Paramètres!$A$1:$I$89,3,0)*VLOOKUP('Données projet'!$B$16,Paramètres!$A$1:$I$89,5,0)</f>
        <v>101.25648000000002</v>
      </c>
      <c r="FG41" s="13">
        <f t="shared" si="47"/>
        <v>27.261118700621143</v>
      </c>
      <c r="FH41" s="20">
        <f t="shared" si="22"/>
        <v>223.83481773691517</v>
      </c>
      <c r="FI41" s="59">
        <f t="shared" si="23"/>
        <v>517.16815107024854</v>
      </c>
      <c r="FJ41" s="59">
        <f ca="1">AVERAGE(OFFSET($FI$3,0,0,'Données projet'!$E$16+1,1))-AVERAGE(OFFSET($H$3,0,0,'Données projet'!$E$16+1,1))</f>
        <v>247.22536892257716</v>
      </c>
      <c r="FK41" s="59">
        <f t="shared" si="48"/>
        <v>147.97952262756075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7.9241127766077977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7.9241127766077977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6">
        <f t="shared" si="1"/>
        <v>336.70874275198798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10.8</v>
      </c>
      <c r="N42" s="13">
        <f>IF('Données projet'!$A$36&gt;35,N41+M42-V41,IF(A42&lt;'Données projet'!$A$36,$K$205^A42,IF(A42='Données projet'!$A$36,'Données projet'!$B$36,N41+M42-V41)))</f>
        <v>202.20000000000002</v>
      </c>
      <c r="O42" s="13">
        <f>N42*VLOOKUP('Données projet'!$B$9,Paramètres!$A$1:$I$89,3,0)*VLOOKUP('Données projet'!$B$9,Paramètres!$A$1:$I$89,5,0)</f>
        <v>176.64192000000003</v>
      </c>
      <c r="P42" s="13">
        <f t="shared" si="33"/>
        <v>44.574258350008236</v>
      </c>
      <c r="Q42" s="20">
        <f t="shared" si="53"/>
        <v>385.28484395959771</v>
      </c>
      <c r="R42" s="59">
        <f t="shared" si="0"/>
        <v>678.61817729293102</v>
      </c>
      <c r="S42" s="59">
        <f ca="1">AVERAGE(OFFSET($R$3,0,0,'Données projet'!$E$9+1,1))-AVERAGE(OFFSET($H$3,0,0,'Données projet'!$E$9+1,1))</f>
        <v>253.73326067725128</v>
      </c>
      <c r="T42" s="59">
        <f t="shared" si="34"/>
        <v>317.76427047458026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16.112912683860895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16.112912683860895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25</v>
      </c>
      <c r="AI42" s="13">
        <f>IF('Données projet'!$A$62&gt;35,AI41+AH42-AQ41,IF(A42&lt;'Données projet'!$A$62,$AF$205^A42,IF(A42='Données projet'!$A$62,'Données projet'!$B$62,AI41+AH42-AQ41)))</f>
        <v>411.00000000000006</v>
      </c>
      <c r="AJ42" s="13">
        <f>AI42*VLOOKUP('Données projet'!$B$10,Paramètres!$A$1:$I$89,3,0)*VLOOKUP('Données projet'!$B$10,Paramètres!$A$1:$I$89,5,0)</f>
        <v>197.69100000000003</v>
      </c>
      <c r="AK42" s="13">
        <f t="shared" si="35"/>
        <v>49.236376973807644</v>
      </c>
      <c r="AL42" s="20">
        <f t="shared" si="4"/>
        <v>430.065181562715</v>
      </c>
      <c r="AM42" s="59">
        <f t="shared" si="5"/>
        <v>723.39851489604825</v>
      </c>
      <c r="AN42" s="59">
        <f ca="1">AVERAGE(OFFSET($AM$3,0,0,'Données projet'!$E$10+1,1))-AVERAGE(OFFSET($H$3,0,0,'Données projet'!$E$10+1,1))</f>
        <v>349.65790906807746</v>
      </c>
      <c r="AO42" s="59">
        <f t="shared" si="36"/>
        <v>291.88925884278888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20.425525734005554</v>
      </c>
      <c r="AV42" s="21">
        <f>EXP(-LN(2)/25)*AV41+(1-EXP(-LN(2)/25))/(LN(2)/25)*Calculateur!AQ42*Calculateur!AS42*VLOOKUP('Données projet'!$B$10,Paramètres!$A$1:$I$89,3,0)*0.475*44/12</f>
        <v>32.096817093901542</v>
      </c>
      <c r="AW42" s="21">
        <f>EXP(-LN(2)/2)*AW41+(1-EXP(-LN(2)/2))/(LN(2)/2)*AQ42*AT42*VLOOKUP('Données projet'!$B$10,Paramètres!$A$1:$I$89,3,0)*0.475*44/12</f>
        <v>2.2564042626326141E-3</v>
      </c>
      <c r="AX42" s="21">
        <f t="shared" si="6"/>
        <v>52.524599232169727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11.4</v>
      </c>
      <c r="BD42" s="12">
        <f>IF('Données projet'!$A$88&gt;35,BD41+BC42-BL41,IF(A42&lt;'Données projet'!$A$88,$BA$205^A42,IF(A42='Données projet'!$A$88,'Données projet'!$B$88,BD41+BC42-BL41)))</f>
        <v>216.6</v>
      </c>
      <c r="BE42" s="13">
        <f>BD42*VLOOKUP('Données projet'!$B$11,Paramètres!$A$1:$I$89,3,0)*VLOOKUP('Données projet'!$B$11,Paramètres!$A$1:$I$89,5,0)</f>
        <v>172.32695999999999</v>
      </c>
      <c r="BF42" s="13">
        <f t="shared" si="37"/>
        <v>43.61077213808133</v>
      </c>
      <c r="BG42" s="20">
        <f t="shared" si="7"/>
        <v>376.09155014049156</v>
      </c>
      <c r="BH42" s="59">
        <f t="shared" si="8"/>
        <v>669.42488347382482</v>
      </c>
      <c r="BI42" s="59">
        <f ca="1">AVERAGE(OFFSET($BH$3,0,0,'Données projet'!$E$11+1,1))-AVERAGE(OFFSET($H$3,0,0,'Données projet'!$E$11+1,1))</f>
        <v>279.49721661620544</v>
      </c>
      <c r="BJ42" s="59">
        <f t="shared" si="38"/>
        <v>275.18739333988754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15.072398596510244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15.072398596510244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9.6</v>
      </c>
      <c r="BY42" s="12">
        <f>IF('Données projet'!$A$114&gt;35,BY41+BX42-CG41,IF(A42&lt;'Données projet'!$A$114,$BV$205^A42,IF(A42='Données projet'!$A$114,'Données projet'!$B$114,BY41+BX42-CG41)))</f>
        <v>182.4</v>
      </c>
      <c r="BZ42" s="13">
        <f>BY42*VLOOKUP('Données projet'!$B$12,Paramètres!$A$1:$I$89,3,0)*VLOOKUP('Données projet'!$B$12,Paramètres!$A$1:$I$89,5,0)</f>
        <v>176.41728000000001</v>
      </c>
      <c r="CA42" s="13">
        <f t="shared" si="39"/>
        <v>44.524166703747255</v>
      </c>
      <c r="CB42" s="20">
        <f t="shared" si="10"/>
        <v>384.80635300902645</v>
      </c>
      <c r="CC42" s="59">
        <f t="shared" si="11"/>
        <v>678.13968634235971</v>
      </c>
      <c r="CD42" s="59">
        <f ca="1">AVERAGE(OFFSET($CC$3,0,0,'Données projet'!$E$12+1,1))-AVERAGE(OFFSET($H$3,0,0,'Données projet'!$E$12+1,1))</f>
        <v>281.84871057356037</v>
      </c>
      <c r="CE42" s="59">
        <f t="shared" si="40"/>
        <v>276.02211904126887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11.892864123802084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11.892864123802084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11.4</v>
      </c>
      <c r="CT42" s="12">
        <f>IF('Données projet'!$A$140&gt;35,CT41+CS42-DB41,IF(A42&lt;'Données projet'!$A$140,$CQ$205^A42,IF(A42='Données projet'!$A$140,'Données projet'!$B$140,CT41+CS42-DB41)))</f>
        <v>216.6</v>
      </c>
      <c r="CU42" s="17">
        <f>CT42*VLOOKUP('Données projet'!$B$13,Paramètres!$A$1:$I$89,3,0)*VLOOKUP('Données projet'!$B$13,Paramètres!$A$1:$I$89,5,0)</f>
        <v>172.32695999999999</v>
      </c>
      <c r="CV42" s="13">
        <f t="shared" si="41"/>
        <v>43.61077213808133</v>
      </c>
      <c r="CW42" s="20">
        <f t="shared" si="13"/>
        <v>376.09155014049156</v>
      </c>
      <c r="CX42" s="59">
        <f t="shared" si="14"/>
        <v>669.42488347382482</v>
      </c>
      <c r="CY42" s="59">
        <f ca="1">AVERAGE(OFFSET($CX$3,0,0,'Données projet'!$E$13+1,1))-AVERAGE(OFFSET($H$3,0,0,'Données projet'!$E$13+1,1))</f>
        <v>279.49721661620544</v>
      </c>
      <c r="CZ42" s="59">
        <f t="shared" si="42"/>
        <v>275.18739333988754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15.072398596510244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15.072398596510244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8.4</v>
      </c>
      <c r="DO42" s="12">
        <f>IF('Données projet'!$A$166&gt;35,DO41+DN42-DW41,IF(A42&lt;'Données projet'!$A$166,$DL$205^A42,IF(A42='Données projet'!$A$166,'Données projet'!$B$166,DO41+DN42-DW41)))</f>
        <v>128.60000000000002</v>
      </c>
      <c r="DP42" s="17">
        <f>DO42*VLOOKUP('Données projet'!$B$14,Paramètres!$A$1:$I$89,3,0)*VLOOKUP('Données projet'!$B$14,Paramètres!$A$1:$I$89,5,0)</f>
        <v>130.40040000000002</v>
      </c>
      <c r="DQ42" s="13">
        <f t="shared" si="43"/>
        <v>34.088863450406919</v>
      </c>
      <c r="DR42" s="20">
        <f t="shared" si="16"/>
        <v>286.48546717612544</v>
      </c>
      <c r="DS42" s="59">
        <f t="shared" si="17"/>
        <v>579.8188005094587</v>
      </c>
      <c r="DT42" s="59">
        <f ca="1">AVERAGE(OFFSET($DS$3,0,0,'Données projet'!$E$14+1,1))-AVERAGE(OFFSET($H$3,0,0,'Données projet'!$E$14+1,1))</f>
        <v>308.80022073574963</v>
      </c>
      <c r="DU42" s="59">
        <f t="shared" si="44"/>
        <v>183.96267407004115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9.3512439683121258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9.3512439683121258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9.6</v>
      </c>
      <c r="EJ42" s="12">
        <f>IF('Données projet'!$A$192&gt;35,EJ41+EI42-ER41,IF(A42&lt;'Données projet'!$A$192,$EG$205^A42,IF(A42='Données projet'!$A$192,'Données projet'!$B$192,EJ41+EI42-ER41)))</f>
        <v>182.4</v>
      </c>
      <c r="EK42" s="17">
        <f>EJ42*VLOOKUP('Données projet'!$B$15,Paramètres!$A$1:$I$89,3,0)*VLOOKUP('Données projet'!$B$15,Paramètres!$A$1:$I$89,5,0)</f>
        <v>119.50848000000001</v>
      </c>
      <c r="EL42" s="13">
        <f t="shared" si="45"/>
        <v>31.560332955588962</v>
      </c>
      <c r="EM42" s="20">
        <f t="shared" si="19"/>
        <v>263.11151589765069</v>
      </c>
      <c r="EN42" s="59">
        <f t="shared" si="20"/>
        <v>556.444849230984</v>
      </c>
      <c r="EO42" s="59">
        <f ca="1">AVERAGE(OFFSET($EN$3,0,0,'Données projet'!$E$15+1,1))-AVERAGE(OFFSET($H$3,0,0,'Données projet'!$E$15+1,1))</f>
        <v>178.71569711875242</v>
      </c>
      <c r="EP42" s="59">
        <f t="shared" si="46"/>
        <v>178.13848582064168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8.0564563419304456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8.0564563419304456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8.4</v>
      </c>
      <c r="FE42" s="12">
        <f>IF('Données projet'!$A$218&gt;35,FE41+FD42-FM41,IF(A42&lt;'Données projet'!$A$218,$FB$205^A42,IF(A42='Données projet'!$A$218,'Données projet'!$B$218,FE41+FD42-FM41)))</f>
        <v>128.60000000000002</v>
      </c>
      <c r="FF42" s="17">
        <f>FE42*VLOOKUP('Données projet'!$B$16,Paramètres!$A$1:$I$89,3,0)*VLOOKUP('Données projet'!$B$16,Paramètres!$A$1:$I$89,5,0)</f>
        <v>108.33264000000003</v>
      </c>
      <c r="FG42" s="13">
        <f t="shared" si="47"/>
        <v>28.937793020723745</v>
      </c>
      <c r="FH42" s="20">
        <f t="shared" si="22"/>
        <v>239.07933751109388</v>
      </c>
      <c r="FI42" s="59">
        <f t="shared" si="23"/>
        <v>532.41267084442723</v>
      </c>
      <c r="FJ42" s="59">
        <f ca="1">AVERAGE(OFFSET($FI$3,0,0,'Données projet'!$E$16+1,1))-AVERAGE(OFFSET($H$3,0,0,'Données projet'!$E$16+1,1))</f>
        <v>247.22536892257716</v>
      </c>
      <c r="FK42" s="59">
        <f t="shared" si="48"/>
        <v>147.97952262756075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7.7687257582900706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7.7687257582900706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6">
        <f t="shared" si="1"/>
        <v>337.78862847140419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213</v>
      </c>
      <c r="L43" s="12">
        <f>VLOOKUP(A43,'Données projet'!$A$35:$I$55,9,0)</f>
        <v>10.8</v>
      </c>
      <c r="M43" s="12">
        <f t="array" ref="M43">INDEX(L:L,MIN(IF(ISNUMBER(L43:L239),ROW(L43:L239),"")))</f>
        <v>10.8</v>
      </c>
      <c r="N43" s="13">
        <f>IF('Données projet'!$A$36&gt;35,N42+M43-V42,IF(A43&lt;'Données projet'!$A$36,$K$205^A43,IF(A43='Données projet'!$A$36,'Données projet'!$B$36,N42+M43-V42)))</f>
        <v>213.00000000000003</v>
      </c>
      <c r="O43" s="13">
        <f>N43*VLOOKUP('Données projet'!$B$9,Paramètres!$A$1:$I$89,3,0)*VLOOKUP('Données projet'!$B$9,Paramètres!$A$1:$I$89,5,0)</f>
        <v>186.07680000000005</v>
      </c>
      <c r="P43" s="13">
        <f t="shared" si="33"/>
        <v>46.671538591528673</v>
      </c>
      <c r="Q43" s="20">
        <f t="shared" si="53"/>
        <v>405.37002304691242</v>
      </c>
      <c r="R43" s="59">
        <f t="shared" si="0"/>
        <v>698.70335638024574</v>
      </c>
      <c r="S43" s="59">
        <f ca="1">AVERAGE(OFFSET($R$3,0,0,'Données projet'!$E$9+1,1))-AVERAGE(OFFSET($H$3,0,0,'Données projet'!$E$9+1,1))</f>
        <v>253.73326067725128</v>
      </c>
      <c r="T43" s="59">
        <f t="shared" si="34"/>
        <v>317.76427047458026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39</v>
      </c>
      <c r="W43" s="16">
        <f>IF(ISNA(VLOOKUP(A43,'Données projet'!$A$35:$I$55,5,0)),0%,VLOOKUP(A43,'Données projet'!$A$35:$I$55,5,0)*VLOOKUP('Données projet'!$B$9,Paramètres!$A$1:$I$89,7,0))</f>
        <v>0.43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31.99239004213765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31.99239004213765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436</v>
      </c>
      <c r="AG43" s="12">
        <f>VLOOKUP(A43,'Données projet'!$A$61:$I$81,9,0)</f>
        <v>25</v>
      </c>
      <c r="AH43" s="12">
        <f t="array" ref="AH43">INDEX(AG:AG,MIN(IF(ISNUMBER(AG43:AG239),ROW(AG43:AG239),"")))</f>
        <v>25</v>
      </c>
      <c r="AI43" s="13">
        <f>IF('Données projet'!$A$62&gt;35,AI42+AH43-AQ42,IF(A43&lt;'Données projet'!$A$62,$AF$205^A43,IF(A43='Données projet'!$A$62,'Données projet'!$B$62,AI42+AH43-AQ42)))</f>
        <v>436.00000000000006</v>
      </c>
      <c r="AJ43" s="13">
        <f>AI43*VLOOKUP('Données projet'!$B$10,Paramètres!$A$1:$I$89,3,0)*VLOOKUP('Données projet'!$B$10,Paramètres!$A$1:$I$89,5,0)</f>
        <v>209.71600000000004</v>
      </c>
      <c r="AK43" s="13">
        <f t="shared" si="35"/>
        <v>51.873519665760895</v>
      </c>
      <c r="AL43" s="20">
        <f t="shared" si="4"/>
        <v>455.60174675120021</v>
      </c>
      <c r="AM43" s="59">
        <f t="shared" si="5"/>
        <v>748.93508008453352</v>
      </c>
      <c r="AN43" s="59">
        <f ca="1">AVERAGE(OFFSET($AM$3,0,0,'Données projet'!$E$10+1,1))-AVERAGE(OFFSET($H$3,0,0,'Données projet'!$E$10+1,1))</f>
        <v>349.65790906807746</v>
      </c>
      <c r="AO43" s="59">
        <f t="shared" si="36"/>
        <v>291.88925884278888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63</v>
      </c>
      <c r="AR43" s="16">
        <f>IF(ISNA(VLOOKUP(A43,'Données projet'!$A$61:$I$81,5,0)),0%,VLOOKUP(A43,'Données projet'!$A$61:$I$81,5,0)*VLOOKUP('Données projet'!$B$10,Paramètres!$A$1:$I$89,7,0))</f>
        <v>0.55000000000000004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42.134379113953656</v>
      </c>
      <c r="AV43" s="21">
        <f>EXP(-LN(2)/25)*AV42+(1-EXP(-LN(2)/25))/(LN(2)/25)*Calculateur!AQ43*Calculateur!AS43*VLOOKUP('Données projet'!$B$10,Paramètres!$A$1:$I$89,3,0)*0.475*44/12</f>
        <v>31.219127942570552</v>
      </c>
      <c r="AW43" s="21">
        <f>EXP(-LN(2)/2)*AW42+(1-EXP(-LN(2)/2))/(LN(2)/2)*AQ43*AT43*VLOOKUP('Données projet'!$B$10,Paramètres!$A$1:$I$89,3,0)*0.475*44/12</f>
        <v>1.5955187552057529E-3</v>
      </c>
      <c r="AX43" s="21">
        <f t="shared" si="6"/>
        <v>73.355102575279417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228</v>
      </c>
      <c r="BB43" s="12">
        <f>VLOOKUP(A43,'Données projet'!$A$87:$I$107,9,0)</f>
        <v>11.4</v>
      </c>
      <c r="BC43" s="12">
        <f t="array" ref="BC43">INDEX(BB:BB,MIN(IF(ISNUMBER(BB43:BB239),ROW(BB43:BB239),"")))</f>
        <v>11.4</v>
      </c>
      <c r="BD43" s="12">
        <f>IF('Données projet'!$A$88&gt;35,BD42+BC43-BL42,IF(A43&lt;'Données projet'!$A$88,$BA$205^A43,IF(A43='Données projet'!$A$88,'Données projet'!$B$88,BD42+BC43-BL42)))</f>
        <v>228</v>
      </c>
      <c r="BE43" s="13">
        <f>BD43*VLOOKUP('Données projet'!$B$11,Paramètres!$A$1:$I$89,3,0)*VLOOKUP('Données projet'!$B$11,Paramètres!$A$1:$I$89,5,0)</f>
        <v>181.39680000000001</v>
      </c>
      <c r="BF43" s="13">
        <f t="shared" si="37"/>
        <v>45.63280848550832</v>
      </c>
      <c r="BG43" s="20">
        <f t="shared" si="7"/>
        <v>395.40990144559368</v>
      </c>
      <c r="BH43" s="59">
        <f t="shared" si="8"/>
        <v>688.74323477892699</v>
      </c>
      <c r="BI43" s="59">
        <f ca="1">AVERAGE(OFFSET($BH$3,0,0,'Données projet'!$E$11+1,1))-AVERAGE(OFFSET($H$3,0,0,'Données projet'!$E$11+1,1))</f>
        <v>279.49721661620544</v>
      </c>
      <c r="BJ43" s="59">
        <f t="shared" si="38"/>
        <v>275.18739333988754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35</v>
      </c>
      <c r="BM43" s="16">
        <f>IF(ISNA(VLOOKUP(A43,'Données projet'!$A$87:$I$107,5,0)),0%,VLOOKUP(A43,'Données projet'!$A$87:$I$107,5,0)*VLOOKUP('Données projet'!$B$11,Paramètres!$A$1:$I$89,7,0))</f>
        <v>0.53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31.091789993179567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31.091789993179567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192</v>
      </c>
      <c r="BW43" s="12">
        <f>VLOOKUP(A43,'Données projet'!$A$113:$I$133,9,0)</f>
        <v>9.6</v>
      </c>
      <c r="BX43" s="12">
        <f t="array" ref="BX43">INDEX(BW:BW,MIN(IF(ISNUMBER(BW43:BW239),ROW(BW43:BW239),"")))</f>
        <v>9.6</v>
      </c>
      <c r="BY43" s="12">
        <f>IF('Données projet'!$A$114&gt;35,BY42+BX43-CG42,IF(A43&lt;'Données projet'!$A$114,$BV$205^A43,IF(A43='Données projet'!$A$114,'Données projet'!$B$114,BY42+BX43-CG42)))</f>
        <v>192</v>
      </c>
      <c r="BZ43" s="13">
        <f>BY43*VLOOKUP('Données projet'!$B$12,Paramètres!$A$1:$I$89,3,0)*VLOOKUP('Données projet'!$B$12,Paramètres!$A$1:$I$89,5,0)</f>
        <v>185.70239999999998</v>
      </c>
      <c r="CA43" s="13">
        <f t="shared" si="39"/>
        <v>46.588553069776829</v>
      </c>
      <c r="CB43" s="20">
        <f t="shared" si="10"/>
        <v>404.57340992986127</v>
      </c>
      <c r="CC43" s="59">
        <f t="shared" si="11"/>
        <v>697.90674326319458</v>
      </c>
      <c r="CD43" s="59">
        <f ca="1">AVERAGE(OFFSET($CC$3,0,0,'Données projet'!$E$12+1,1))-AVERAGE(OFFSET($H$3,0,0,'Données projet'!$E$12+1,1))</f>
        <v>281.84871057356037</v>
      </c>
      <c r="CE43" s="59">
        <f t="shared" si="40"/>
        <v>276.02211904126887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28</v>
      </c>
      <c r="CH43" s="16">
        <f>IF(ISNA(VLOOKUP(A43,'Données projet'!$A$113:$I$133,5,0)),0%,VLOOKUP(A43,'Données projet'!$A$113:$I$133,5,0)*VLOOKUP('Données projet'!$B$12,Paramètres!$A$1:$I$89,7,0))</f>
        <v>0.43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24.532952163319777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24.532952163319777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228</v>
      </c>
      <c r="CR43" s="12">
        <f>VLOOKUP(A43,'Données projet'!$A$139:$I$159,9,0)</f>
        <v>11.4</v>
      </c>
      <c r="CS43" s="12">
        <f t="array" ref="CS43">INDEX(CR:CR,MIN(IF(ISNUMBER(CR43:CR239),ROW(CR43:CR239),"")))</f>
        <v>11.4</v>
      </c>
      <c r="CT43" s="12">
        <f>IF('Données projet'!$A$140&gt;35,CT42+CS43-DB42,IF(A43&lt;'Données projet'!$A$140,$CQ$205^A43,IF(A43='Données projet'!$A$140,'Données projet'!$B$140,CT42+CS43-DB42)))</f>
        <v>228</v>
      </c>
      <c r="CU43" s="17">
        <f>CT43*VLOOKUP('Données projet'!$B$13,Paramètres!$A$1:$I$89,3,0)*VLOOKUP('Données projet'!$B$13,Paramètres!$A$1:$I$89,5,0)</f>
        <v>181.39680000000001</v>
      </c>
      <c r="CV43" s="13">
        <f t="shared" si="41"/>
        <v>45.63280848550832</v>
      </c>
      <c r="CW43" s="20">
        <f t="shared" si="13"/>
        <v>395.40990144559368</v>
      </c>
      <c r="CX43" s="59">
        <f t="shared" si="14"/>
        <v>688.74323477892699</v>
      </c>
      <c r="CY43" s="59">
        <f ca="1">AVERAGE(OFFSET($CX$3,0,0,'Données projet'!$E$13+1,1))-AVERAGE(OFFSET($H$3,0,0,'Données projet'!$E$13+1,1))</f>
        <v>279.49721661620544</v>
      </c>
      <c r="CZ43" s="59">
        <f t="shared" si="42"/>
        <v>275.18739333988754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35</v>
      </c>
      <c r="DC43" s="16">
        <f>IF(ISNA(VLOOKUP(A43,'Données projet'!$A$139:$I$159,5,0)),0%,VLOOKUP(A43,'Données projet'!$A$139:$I$159,5,0)*VLOOKUP('Données projet'!$B$13,Paramètres!$A$1:$I$89,7,0))</f>
        <v>0.53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31.091789993179567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31.091789993179567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137</v>
      </c>
      <c r="DM43" s="12">
        <f>VLOOKUP(A43,'Données projet'!$A$165:$I$185,9,0)</f>
        <v>8.4</v>
      </c>
      <c r="DN43" s="12">
        <f t="array" ref="DN43">INDEX(DM:DM,MIN(IF(ISNUMBER(DM43:DM239),ROW(DM43:DM239),"")))</f>
        <v>8.4</v>
      </c>
      <c r="DO43" s="12">
        <f>IF('Données projet'!$A$166&gt;35,DO42+DN43-DW42,IF(A43&lt;'Données projet'!$A$166,$DL$205^A43,IF(A43='Données projet'!$A$166,'Données projet'!$B$166,DO42+DN43-DW42)))</f>
        <v>137.00000000000003</v>
      </c>
      <c r="DP43" s="17">
        <f>DO43*VLOOKUP('Données projet'!$B$14,Paramètres!$A$1:$I$89,3,0)*VLOOKUP('Données projet'!$B$14,Paramètres!$A$1:$I$89,5,0)</f>
        <v>138.91800000000003</v>
      </c>
      <c r="DQ43" s="13">
        <f t="shared" si="43"/>
        <v>36.049022673886341</v>
      </c>
      <c r="DR43" s="20">
        <f t="shared" si="16"/>
        <v>304.73423115701877</v>
      </c>
      <c r="DS43" s="59">
        <f t="shared" si="17"/>
        <v>598.06756449035208</v>
      </c>
      <c r="DT43" s="59">
        <f ca="1">AVERAGE(OFFSET($DS$3,0,0,'Données projet'!$E$14+1,1))-AVERAGE(OFFSET($H$3,0,0,'Données projet'!$E$14+1,1))</f>
        <v>308.80022073574963</v>
      </c>
      <c r="DU43" s="59">
        <f t="shared" si="44"/>
        <v>183.96267407004115</v>
      </c>
      <c r="DV43" s="15">
        <f>IF(ISNA(VLOOKUP(A43,'Données projet'!$A$165:$I$185,3,0)),0,VLOOKUP(A43,'Données projet'!$A$165:$I$185,3,0))</f>
        <v>4</v>
      </c>
      <c r="DW43" s="15">
        <f>IF(ISNA(VLOOKUP(A43,'Données projet'!$A$165:$I$185,4,0)),0,VLOOKUP(A43,'Données projet'!$A$165:$I$185,4,0))</f>
        <v>21</v>
      </c>
      <c r="DX43" s="16">
        <f>IF(ISNA(VLOOKUP(A43,'Données projet'!$A$165:$I$185,5,0)),0%,VLOOKUP(A43,'Données projet'!$A$165:$I$185,5,0)*VLOOKUP('Données projet'!$B$14,Paramètres!$A$1:$I$89,7,0))</f>
        <v>0.43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19.290022870352246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19.290022870352246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192</v>
      </c>
      <c r="EH43" s="12">
        <f>VLOOKUP(A43,'Données projet'!$A$191:$I$211,9,0)</f>
        <v>9.6</v>
      </c>
      <c r="EI43" s="12">
        <f t="array" ref="EI43">INDEX(EH:EH,MIN(IF(ISNUMBER(EH43:EH239),ROW(EH43:EH239),"")))</f>
        <v>9.6</v>
      </c>
      <c r="EJ43" s="12">
        <f>IF('Données projet'!$A$192&gt;35,EJ42+EI43-ER42,IF(A43&lt;'Données projet'!$A$192,$EG$205^A43,IF(A43='Données projet'!$A$192,'Données projet'!$B$192,EJ42+EI43-ER42)))</f>
        <v>192</v>
      </c>
      <c r="EK43" s="17">
        <f>EJ43*VLOOKUP('Données projet'!$B$15,Paramètres!$A$1:$I$89,3,0)*VLOOKUP('Données projet'!$B$15,Paramètres!$A$1:$I$89,5,0)</f>
        <v>125.7984</v>
      </c>
      <c r="EL43" s="13">
        <f t="shared" si="45"/>
        <v>33.023644363399924</v>
      </c>
      <c r="EM43" s="20">
        <f t="shared" si="19"/>
        <v>276.61506059958816</v>
      </c>
      <c r="EN43" s="59">
        <f t="shared" si="20"/>
        <v>569.94839393292148</v>
      </c>
      <c r="EO43" s="59">
        <f ca="1">AVERAGE(OFFSET($EN$3,0,0,'Données projet'!$E$15+1,1))-AVERAGE(OFFSET($H$3,0,0,'Données projet'!$E$15+1,1))</f>
        <v>178.71569711875242</v>
      </c>
      <c r="EP43" s="59">
        <f t="shared" si="46"/>
        <v>178.13848582064168</v>
      </c>
      <c r="EQ43" s="15">
        <f>IF(ISNA(VLOOKUP(A43,'Données projet'!$A$191:$I$211,3,0)),0,VLOOKUP(A43,'Données projet'!$A$191:$I$211,3,0))</f>
        <v>6</v>
      </c>
      <c r="ER43" s="15">
        <f>IF(ISNA(VLOOKUP(A43,'Données projet'!$A$191:$I$211,4,0)),0,VLOOKUP(A43,'Données projet'!$A$191:$I$211,4,0))</f>
        <v>28</v>
      </c>
      <c r="ES43" s="16">
        <f>IF(ISNA(VLOOKUP(A43,'Données projet'!$A$191:$I$211,5,0)),0%,VLOOKUP(A43,'Données projet'!$A$191:$I$211,5,0)*VLOOKUP('Données projet'!$B$15,Paramètres!$A$1:$I$89,7,0))</f>
        <v>0.43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16.61909662676501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16.61909662676501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137</v>
      </c>
      <c r="FC43" s="12">
        <f>VLOOKUP(A43,'Données projet'!$A$217:$I$237,9,0)</f>
        <v>8.4</v>
      </c>
      <c r="FD43" s="12">
        <f t="array" ref="FD43">INDEX(FC:FC,MIN(IF(ISNUMBER(FC43:FC239),ROW(FC43:FC239),"")))</f>
        <v>8.4</v>
      </c>
      <c r="FE43" s="12">
        <f>IF('Données projet'!$A$218&gt;35,FE42+FD43-FM42,IF(A43&lt;'Données projet'!$A$218,$FB$205^A43,IF(A43='Données projet'!$A$218,'Données projet'!$B$218,FE42+FD43-FM42)))</f>
        <v>137.00000000000003</v>
      </c>
      <c r="FF43" s="17">
        <f>FE43*VLOOKUP('Données projet'!$B$16,Paramètres!$A$1:$I$89,3,0)*VLOOKUP('Données projet'!$B$16,Paramètres!$A$1:$I$89,5,0)</f>
        <v>115.40880000000003</v>
      </c>
      <c r="FG43" s="13">
        <f t="shared" si="47"/>
        <v>30.60175820334798</v>
      </c>
      <c r="FH43" s="20">
        <f t="shared" si="22"/>
        <v>254.30172220416443</v>
      </c>
      <c r="FI43" s="59">
        <f t="shared" si="23"/>
        <v>547.63505553749769</v>
      </c>
      <c r="FJ43" s="59">
        <f ca="1">AVERAGE(OFFSET($FI$3,0,0,'Données projet'!$E$16+1,1))-AVERAGE(OFFSET($H$3,0,0,'Données projet'!$E$16+1,1))</f>
        <v>247.22536892257716</v>
      </c>
      <c r="FK43" s="59">
        <f t="shared" si="48"/>
        <v>147.97952262756075</v>
      </c>
      <c r="FL43" s="15">
        <f>IF(ISNA(VLOOKUP(A43,'Données projet'!$A$217:$I$237,3,0)),0,VLOOKUP(A43,'Données projet'!$A$217:$I$237,3,0))</f>
        <v>4</v>
      </c>
      <c r="FM43" s="15">
        <f>IF(ISNA(VLOOKUP(A43,'Données projet'!$A$217:$I$237,4,0)),0,VLOOKUP(A43,'Données projet'!$A$217:$I$237,4,0))</f>
        <v>21</v>
      </c>
      <c r="FN43" s="16">
        <f>IF(ISNA(VLOOKUP(A43,'Données projet'!$A$217:$I$237,5,0)),0%,VLOOKUP(A43,'Données projet'!$A$217:$I$237,5,0)*VLOOKUP('Données projet'!$B$16,Paramètres!$A$1:$I$89,7,0))</f>
        <v>0.43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16.025557461523402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16.025557461523402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6">
        <f t="shared" si="1"/>
        <v>338.86781049841682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9.8000000000000007</v>
      </c>
      <c r="N44" s="13">
        <f>IF('Données projet'!$A$36&gt;35,N43+M44-V43,IF(A44&lt;'Données projet'!$A$36,$K$205^A44,IF(A44='Données projet'!$A$36,'Données projet'!$B$36,N43+M44-V43)))</f>
        <v>183.80000000000004</v>
      </c>
      <c r="O44" s="13">
        <f>N44*VLOOKUP('Données projet'!$B$9,Paramètres!$A$1:$I$89,3,0)*VLOOKUP('Données projet'!$B$9,Paramètres!$A$1:$I$89,5,0)</f>
        <v>160.56768000000005</v>
      </c>
      <c r="P44" s="13">
        <f t="shared" si="33"/>
        <v>40.970530810309882</v>
      </c>
      <c r="Q44" s="20">
        <f t="shared" si="53"/>
        <v>351.0123838279564</v>
      </c>
      <c r="R44" s="59">
        <f t="shared" si="0"/>
        <v>644.34571716128971</v>
      </c>
      <c r="S44" s="59">
        <f ca="1">AVERAGE(OFFSET($R$3,0,0,'Données projet'!$E$9+1,1))-AVERAGE(OFFSET($H$3,0,0,'Données projet'!$E$9+1,1))</f>
        <v>253.73326067725128</v>
      </c>
      <c r="T44" s="59">
        <f t="shared" si="34"/>
        <v>317.76427047458026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31.365038786842465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31.365038786842465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24.2</v>
      </c>
      <c r="AI44" s="13">
        <f>IF('Données projet'!$A$62&gt;35,AI43+AH44-AQ43,IF(A44&lt;'Données projet'!$A$62,$AF$205^A44,IF(A44='Données projet'!$A$62,'Données projet'!$B$62,AI43+AH44-AQ43)))</f>
        <v>397.20000000000005</v>
      </c>
      <c r="AJ44" s="13">
        <f>AI44*VLOOKUP('Données projet'!$B$10,Paramètres!$A$1:$I$89,3,0)*VLOOKUP('Données projet'!$B$10,Paramètres!$A$1:$I$89,5,0)</f>
        <v>191.05320000000003</v>
      </c>
      <c r="AK44" s="13">
        <f t="shared" si="35"/>
        <v>47.772725452801886</v>
      </c>
      <c r="AL44" s="20">
        <f t="shared" si="4"/>
        <v>415.95515349696331</v>
      </c>
      <c r="AM44" s="59">
        <f t="shared" si="5"/>
        <v>709.28848683029662</v>
      </c>
      <c r="AN44" s="59">
        <f ca="1">AVERAGE(OFFSET($AM$3,0,0,'Données projet'!$E$10+1,1))-AVERAGE(OFFSET($H$3,0,0,'Données projet'!$E$10+1,1))</f>
        <v>349.65790906807746</v>
      </c>
      <c r="AO44" s="59">
        <f t="shared" si="36"/>
        <v>291.88925884278888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41.308149638962675</v>
      </c>
      <c r="AV44" s="21">
        <f>EXP(-LN(2)/25)*AV43+(1-EXP(-LN(2)/25))/(LN(2)/25)*Calculateur!AQ44*Calculateur!AS44*VLOOKUP('Données projet'!$B$10,Paramètres!$A$1:$I$89,3,0)*0.475*44/12</f>
        <v>30.365439247238374</v>
      </c>
      <c r="AW44" s="21">
        <f>EXP(-LN(2)/2)*AW43+(1-EXP(-LN(2)/2))/(LN(2)/2)*AQ44*AT44*VLOOKUP('Données projet'!$B$10,Paramètres!$A$1:$I$89,3,0)*0.475*44/12</f>
        <v>1.128202131316307E-3</v>
      </c>
      <c r="AX44" s="21">
        <f t="shared" si="6"/>
        <v>71.674717088332358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9.8000000000000007</v>
      </c>
      <c r="BD44" s="12">
        <f>IF('Données projet'!$A$88&gt;35,BD43+BC44-BL43,IF(A44&lt;'Données projet'!$A$88,$BA$205^A44,IF(A44='Données projet'!$A$88,'Données projet'!$B$88,BD43+BC44-BL43)))</f>
        <v>202.8</v>
      </c>
      <c r="BE44" s="13">
        <f>BD44*VLOOKUP('Données projet'!$B$11,Paramètres!$A$1:$I$89,3,0)*VLOOKUP('Données projet'!$B$11,Paramètres!$A$1:$I$89,5,0)</f>
        <v>161.34768000000003</v>
      </c>
      <c r="BF44" s="13">
        <f t="shared" si="37"/>
        <v>41.146339844316657</v>
      </c>
      <c r="BG44" s="20">
        <f t="shared" si="7"/>
        <v>352.6770845621848</v>
      </c>
      <c r="BH44" s="59">
        <f t="shared" si="8"/>
        <v>646.01041789551812</v>
      </c>
      <c r="BI44" s="59">
        <f ca="1">AVERAGE(OFFSET($BH$3,0,0,'Données projet'!$E$11+1,1))-AVERAGE(OFFSET($H$3,0,0,'Données projet'!$E$11+1,1))</f>
        <v>279.49721661620544</v>
      </c>
      <c r="BJ44" s="59">
        <f t="shared" si="38"/>
        <v>275.18739333988754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30.48209895553266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30.48209895553266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8.1999999999999993</v>
      </c>
      <c r="BY44" s="12">
        <f>IF('Données projet'!$A$114&gt;35,BY43+BX44-CG43,IF(A44&lt;'Données projet'!$A$114,$BV$205^A44,IF(A44='Données projet'!$A$114,'Données projet'!$B$114,BY43+BX44-CG43)))</f>
        <v>172.2</v>
      </c>
      <c r="BZ44" s="13">
        <f>BY44*VLOOKUP('Données projet'!$B$12,Paramètres!$A$1:$I$89,3,0)*VLOOKUP('Données projet'!$B$12,Paramètres!$A$1:$I$89,5,0)</f>
        <v>166.55184</v>
      </c>
      <c r="CA44" s="13">
        <f t="shared" si="39"/>
        <v>42.316831835556165</v>
      </c>
      <c r="CB44" s="20">
        <f t="shared" si="10"/>
        <v>363.77960344692701</v>
      </c>
      <c r="CC44" s="59">
        <f t="shared" si="11"/>
        <v>657.11293678026027</v>
      </c>
      <c r="CD44" s="59">
        <f ca="1">AVERAGE(OFFSET($CC$3,0,0,'Données projet'!$E$12+1,1))-AVERAGE(OFFSET($H$3,0,0,'Données projet'!$E$12+1,1))</f>
        <v>281.84871057356037</v>
      </c>
      <c r="CE44" s="59">
        <f t="shared" si="40"/>
        <v>276.02211904126887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24.051875935020362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24.051875935020362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9.8000000000000007</v>
      </c>
      <c r="CT44" s="12">
        <f>IF('Données projet'!$A$140&gt;35,CT43+CS44-DB43,IF(A44&lt;'Données projet'!$A$140,$CQ$205^A44,IF(A44='Données projet'!$A$140,'Données projet'!$B$140,CT43+CS44-DB43)))</f>
        <v>202.8</v>
      </c>
      <c r="CU44" s="17">
        <f>CT44*VLOOKUP('Données projet'!$B$13,Paramètres!$A$1:$I$89,3,0)*VLOOKUP('Données projet'!$B$13,Paramètres!$A$1:$I$89,5,0)</f>
        <v>161.34768000000003</v>
      </c>
      <c r="CV44" s="13">
        <f t="shared" si="41"/>
        <v>41.146339844316657</v>
      </c>
      <c r="CW44" s="20">
        <f t="shared" si="13"/>
        <v>352.6770845621848</v>
      </c>
      <c r="CX44" s="59">
        <f t="shared" si="14"/>
        <v>646.01041789551812</v>
      </c>
      <c r="CY44" s="59">
        <f ca="1">AVERAGE(OFFSET($CX$3,0,0,'Données projet'!$E$13+1,1))-AVERAGE(OFFSET($H$3,0,0,'Données projet'!$E$13+1,1))</f>
        <v>279.49721661620544</v>
      </c>
      <c r="CZ44" s="59">
        <f t="shared" si="42"/>
        <v>275.18739333988754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30.48209895553266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30.48209895553266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8.4</v>
      </c>
      <c r="DO44" s="12">
        <f>IF('Données projet'!$A$166&gt;35,DO43+DN44-DW43,IF(A44&lt;'Données projet'!$A$166,$DL$205^A44,IF(A44='Données projet'!$A$166,'Données projet'!$B$166,DO43+DN44-DW43)))</f>
        <v>124.40000000000003</v>
      </c>
      <c r="DP44" s="17">
        <f>DO44*VLOOKUP('Données projet'!$B$14,Paramètres!$A$1:$I$89,3,0)*VLOOKUP('Données projet'!$B$14,Paramètres!$A$1:$I$89,5,0)</f>
        <v>126.14160000000005</v>
      </c>
      <c r="DQ44" s="13">
        <f t="shared" si="43"/>
        <v>33.10323903126482</v>
      </c>
      <c r="DR44" s="20">
        <f t="shared" si="16"/>
        <v>277.35142797945298</v>
      </c>
      <c r="DS44" s="59">
        <f t="shared" si="17"/>
        <v>570.68476131278635</v>
      </c>
      <c r="DT44" s="59">
        <f ca="1">AVERAGE(OFFSET($DS$3,0,0,'Données projet'!$E$14+1,1))-AVERAGE(OFFSET($H$3,0,0,'Données projet'!$E$14+1,1))</f>
        <v>308.80022073574963</v>
      </c>
      <c r="DU44" s="59">
        <f t="shared" si="44"/>
        <v>183.96267407004115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18.911757287616819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18.911757287616819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8.1999999999999993</v>
      </c>
      <c r="EJ44" s="12">
        <f>IF('Données projet'!$A$192&gt;35,EJ43+EI44-ER43,IF(A44&lt;'Données projet'!$A$192,$EG$205^A44,IF(A44='Données projet'!$A$192,'Données projet'!$B$192,EJ43+EI44-ER43)))</f>
        <v>172.2</v>
      </c>
      <c r="EK44" s="17">
        <f>EJ44*VLOOKUP('Données projet'!$B$15,Paramètres!$A$1:$I$89,3,0)*VLOOKUP('Données projet'!$B$15,Paramètres!$A$1:$I$89,5,0)</f>
        <v>112.82544</v>
      </c>
      <c r="EL44" s="13">
        <f t="shared" si="45"/>
        <v>29.995694500969023</v>
      </c>
      <c r="EM44" s="20">
        <f t="shared" si="19"/>
        <v>248.7468092558544</v>
      </c>
      <c r="EN44" s="59">
        <f t="shared" si="20"/>
        <v>542.08014258918774</v>
      </c>
      <c r="EO44" s="59">
        <f ca="1">AVERAGE(OFFSET($EN$3,0,0,'Données projet'!$E$15+1,1))-AVERAGE(OFFSET($H$3,0,0,'Données projet'!$E$15+1,1))</f>
        <v>178.71569711875242</v>
      </c>
      <c r="EP44" s="59">
        <f t="shared" si="46"/>
        <v>178.13848582064168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16.293206278562181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16.293206278562181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8.4</v>
      </c>
      <c r="FE44" s="12">
        <f>IF('Données projet'!$A$218&gt;35,FE43+FD44-FM43,IF(A44&lt;'Données projet'!$A$218,$FB$205^A44,IF(A44='Données projet'!$A$218,'Données projet'!$B$218,FE43+FD44-FM43)))</f>
        <v>124.40000000000003</v>
      </c>
      <c r="FF44" s="17">
        <f>FE44*VLOOKUP('Données projet'!$B$16,Paramètres!$A$1:$I$89,3,0)*VLOOKUP('Données projet'!$B$16,Paramètres!$A$1:$I$89,5,0)</f>
        <v>104.79456000000003</v>
      </c>
      <c r="FG44" s="13">
        <f t="shared" si="47"/>
        <v>28.101103481959861</v>
      </c>
      <c r="FH44" s="20">
        <f t="shared" si="22"/>
        <v>231.45994723108015</v>
      </c>
      <c r="FI44" s="59">
        <f t="shared" si="23"/>
        <v>524.79328056441341</v>
      </c>
      <c r="FJ44" s="59">
        <f ca="1">AVERAGE(OFFSET($FI$3,0,0,'Données projet'!$E$16+1,1))-AVERAGE(OFFSET($H$3,0,0,'Données projet'!$E$16+1,1))</f>
        <v>247.22536892257716</v>
      </c>
      <c r="FK44" s="59">
        <f t="shared" si="48"/>
        <v>147.97952262756075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15.711306054327816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15.711306054327816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6">
        <f t="shared" si="1"/>
        <v>339.94630797071898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9.8000000000000007</v>
      </c>
      <c r="N45" s="13">
        <f>IF('Données projet'!$A$36&gt;35,N44+M45-V44,IF(A45&lt;'Données projet'!$A$36,$K$205^A45,IF(A45='Données projet'!$A$36,'Données projet'!$B$36,N44+M45-V44)))</f>
        <v>193.60000000000005</v>
      </c>
      <c r="O45" s="13">
        <f>N45*VLOOKUP('Données projet'!$B$9,Paramètres!$A$1:$I$89,3,0)*VLOOKUP('Données projet'!$B$9,Paramètres!$A$1:$I$89,5,0)</f>
        <v>169.12896000000006</v>
      </c>
      <c r="P45" s="13">
        <f t="shared" si="33"/>
        <v>42.894881315146776</v>
      </c>
      <c r="Q45" s="20">
        <f t="shared" si="53"/>
        <v>369.27485695721407</v>
      </c>
      <c r="R45" s="59">
        <f t="shared" si="0"/>
        <v>662.60819029054733</v>
      </c>
      <c r="S45" s="59">
        <f ca="1">AVERAGE(OFFSET($R$3,0,0,'Données projet'!$E$9+1,1))-AVERAGE(OFFSET($H$3,0,0,'Données projet'!$E$9+1,1))</f>
        <v>253.73326067725128</v>
      </c>
      <c r="T45" s="59">
        <f t="shared" si="34"/>
        <v>317.76427047458026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30.749989507017137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30.749989507017137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24.2</v>
      </c>
      <c r="AI45" s="13">
        <f>IF('Données projet'!$A$62&gt;35,AI44+AH45-AQ44,IF(A45&lt;'Données projet'!$A$62,$AF$205^A45,IF(A45='Données projet'!$A$62,'Données projet'!$B$62,AI44+AH45-AQ44)))</f>
        <v>421.40000000000003</v>
      </c>
      <c r="AJ45" s="13">
        <f>AI45*VLOOKUP('Données projet'!$B$10,Paramètres!$A$1:$I$89,3,0)*VLOOKUP('Données projet'!$B$10,Paramètres!$A$1:$I$89,5,0)</f>
        <v>202.69340000000003</v>
      </c>
      <c r="AK45" s="13">
        <f t="shared" si="35"/>
        <v>50.335633892078647</v>
      </c>
      <c r="AL45" s="20">
        <f t="shared" si="4"/>
        <v>440.69223402870369</v>
      </c>
      <c r="AM45" s="59">
        <f t="shared" si="5"/>
        <v>734.02556736203701</v>
      </c>
      <c r="AN45" s="59">
        <f ca="1">AVERAGE(OFFSET($AM$3,0,0,'Données projet'!$E$10+1,1))-AVERAGE(OFFSET($H$3,0,0,'Données projet'!$E$10+1,1))</f>
        <v>349.65790906807746</v>
      </c>
      <c r="AO45" s="59">
        <f t="shared" si="36"/>
        <v>291.88925884278888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40.498122020026052</v>
      </c>
      <c r="AV45" s="21">
        <f>EXP(-LN(2)/25)*AV44+(1-EXP(-LN(2)/25))/(LN(2)/25)*Calculateur!AQ45*Calculateur!AS45*VLOOKUP('Données projet'!$B$10,Paramètres!$A$1:$I$89,3,0)*0.475*44/12</f>
        <v>29.535094714173592</v>
      </c>
      <c r="AW45" s="21">
        <f>EXP(-LN(2)/2)*AW44+(1-EXP(-LN(2)/2))/(LN(2)/2)*AQ45*AT45*VLOOKUP('Données projet'!$B$10,Paramètres!$A$1:$I$89,3,0)*0.475*44/12</f>
        <v>7.9775937760287647E-4</v>
      </c>
      <c r="AX45" s="21">
        <f t="shared" si="6"/>
        <v>70.034014493577246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9.8000000000000007</v>
      </c>
      <c r="BD45" s="12">
        <f>IF('Données projet'!$A$88&gt;35,BD44+BC45-BL44,IF(A45&lt;'Données projet'!$A$88,$BA$205^A45,IF(A45='Données projet'!$A$88,'Données projet'!$B$88,BD44+BC45-BL44)))</f>
        <v>212.60000000000002</v>
      </c>
      <c r="BE45" s="13">
        <f>BD45*VLOOKUP('Données projet'!$B$11,Paramètres!$A$1:$I$89,3,0)*VLOOKUP('Données projet'!$B$11,Paramètres!$A$1:$I$89,5,0)</f>
        <v>169.14456000000004</v>
      </c>
      <c r="BF45" s="13">
        <f t="shared" si="37"/>
        <v>42.898377267189964</v>
      </c>
      <c r="BG45" s="20">
        <f t="shared" si="7"/>
        <v>369.30811574035596</v>
      </c>
      <c r="BH45" s="59">
        <f t="shared" si="8"/>
        <v>662.64144907368927</v>
      </c>
      <c r="BI45" s="59">
        <f ca="1">AVERAGE(OFFSET($BH$3,0,0,'Données projet'!$E$11+1,1))-AVERAGE(OFFSET($H$3,0,0,'Données projet'!$E$11+1,1))</f>
        <v>279.49721661620544</v>
      </c>
      <c r="BJ45" s="59">
        <f t="shared" si="38"/>
        <v>275.18739333988754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29.884363587259195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29.884363587259195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8.1999999999999993</v>
      </c>
      <c r="BY45" s="12">
        <f>IF('Données projet'!$A$114&gt;35,BY44+BX45-CG44,IF(A45&lt;'Données projet'!$A$114,$BV$205^A45,IF(A45='Données projet'!$A$114,'Données projet'!$B$114,BY44+BX45-CG44)))</f>
        <v>180.39999999999998</v>
      </c>
      <c r="BZ45" s="13">
        <f>BY45*VLOOKUP('Données projet'!$B$12,Paramètres!$A$1:$I$89,3,0)*VLOOKUP('Données projet'!$B$12,Paramètres!$A$1:$I$89,5,0)</f>
        <v>174.48287999999999</v>
      </c>
      <c r="CA45" s="13">
        <f t="shared" si="39"/>
        <v>44.092513602166207</v>
      </c>
      <c r="CB45" s="20">
        <f t="shared" si="10"/>
        <v>380.68547719043937</v>
      </c>
      <c r="CC45" s="59">
        <f t="shared" si="11"/>
        <v>674.01881052377269</v>
      </c>
      <c r="CD45" s="59">
        <f ca="1">AVERAGE(OFFSET($CC$3,0,0,'Données projet'!$E$12+1,1))-AVERAGE(OFFSET($H$3,0,0,'Données projet'!$E$12+1,1))</f>
        <v>281.84871057356037</v>
      </c>
      <c r="CE45" s="59">
        <f t="shared" si="40"/>
        <v>276.02211904126887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23.580233318130372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23.580233318130372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9.8000000000000007</v>
      </c>
      <c r="CT45" s="12">
        <f>IF('Données projet'!$A$140&gt;35,CT44+CS45-DB44,IF(A45&lt;'Données projet'!$A$140,$CQ$205^A45,IF(A45='Données projet'!$A$140,'Données projet'!$B$140,CT44+CS45-DB44)))</f>
        <v>212.60000000000002</v>
      </c>
      <c r="CU45" s="17">
        <f>CT45*VLOOKUP('Données projet'!$B$13,Paramètres!$A$1:$I$89,3,0)*VLOOKUP('Données projet'!$B$13,Paramètres!$A$1:$I$89,5,0)</f>
        <v>169.14456000000004</v>
      </c>
      <c r="CV45" s="13">
        <f t="shared" si="41"/>
        <v>42.898377267189964</v>
      </c>
      <c r="CW45" s="20">
        <f t="shared" si="13"/>
        <v>369.30811574035596</v>
      </c>
      <c r="CX45" s="59">
        <f t="shared" si="14"/>
        <v>662.64144907368927</v>
      </c>
      <c r="CY45" s="59">
        <f ca="1">AVERAGE(OFFSET($CX$3,0,0,'Données projet'!$E$13+1,1))-AVERAGE(OFFSET($H$3,0,0,'Données projet'!$E$13+1,1))</f>
        <v>279.49721661620544</v>
      </c>
      <c r="CZ45" s="59">
        <f t="shared" si="42"/>
        <v>275.18739333988754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29.884363587259195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29.884363587259195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8.4</v>
      </c>
      <c r="DO45" s="12">
        <f>IF('Données projet'!$A$166&gt;35,DO44+DN45-DW44,IF(A45&lt;'Données projet'!$A$166,$DL$205^A45,IF(A45='Données projet'!$A$166,'Données projet'!$B$166,DO44+DN45-DW44)))</f>
        <v>132.80000000000004</v>
      </c>
      <c r="DP45" s="17">
        <f>DO45*VLOOKUP('Données projet'!$B$14,Paramètres!$A$1:$I$89,3,0)*VLOOKUP('Données projet'!$B$14,Paramètres!$A$1:$I$89,5,0)</f>
        <v>134.65920000000006</v>
      </c>
      <c r="DQ45" s="13">
        <f t="shared" si="43"/>
        <v>35.07074737441733</v>
      </c>
      <c r="DR45" s="20">
        <f t="shared" si="16"/>
        <v>295.61299167711024</v>
      </c>
      <c r="DS45" s="59">
        <f t="shared" si="17"/>
        <v>588.94632501044362</v>
      </c>
      <c r="DT45" s="59">
        <f ca="1">AVERAGE(OFFSET($DS$3,0,0,'Données projet'!$E$14+1,1))-AVERAGE(OFFSET($H$3,0,0,'Données projet'!$E$14+1,1))</f>
        <v>308.80022073574963</v>
      </c>
      <c r="DU45" s="59">
        <f t="shared" si="44"/>
        <v>183.96267407004115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18.540909262239609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18.540909262239609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8.1999999999999993</v>
      </c>
      <c r="EJ45" s="12">
        <f>IF('Données projet'!$A$192&gt;35,EJ44+EI45-ER44,IF(A45&lt;'Données projet'!$A$192,$EG$205^A45,IF(A45='Données projet'!$A$192,'Données projet'!$B$192,EJ44+EI45-ER44)))</f>
        <v>180.39999999999998</v>
      </c>
      <c r="EK45" s="17">
        <f>EJ45*VLOOKUP('Données projet'!$B$15,Paramètres!$A$1:$I$89,3,0)*VLOOKUP('Données projet'!$B$15,Paramètres!$A$1:$I$89,5,0)</f>
        <v>118.19807999999998</v>
      </c>
      <c r="EL45" s="13">
        <f t="shared" si="45"/>
        <v>31.254361690638479</v>
      </c>
      <c r="EM45" s="20">
        <f t="shared" si="19"/>
        <v>260.29633594452861</v>
      </c>
      <c r="EN45" s="59">
        <f t="shared" si="20"/>
        <v>553.62966927786192</v>
      </c>
      <c r="EO45" s="59">
        <f ca="1">AVERAGE(OFFSET($EN$3,0,0,'Données projet'!$E$15+1,1))-AVERAGE(OFFSET($H$3,0,0,'Données projet'!$E$15+1,1))</f>
        <v>178.71569711875242</v>
      </c>
      <c r="EP45" s="59">
        <f t="shared" si="46"/>
        <v>178.13848582064168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15.973706441314123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15.973706441314123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8.4</v>
      </c>
      <c r="FE45" s="12">
        <f>IF('Données projet'!$A$218&gt;35,FE44+FD45-FM44,IF(A45&lt;'Données projet'!$A$218,$FB$205^A45,IF(A45='Données projet'!$A$218,'Données projet'!$B$218,FE44+FD45-FM44)))</f>
        <v>132.80000000000004</v>
      </c>
      <c r="FF45" s="17">
        <f>FE45*VLOOKUP('Données projet'!$B$16,Paramètres!$A$1:$I$89,3,0)*VLOOKUP('Données projet'!$B$16,Paramètres!$A$1:$I$89,5,0)</f>
        <v>111.87072000000005</v>
      </c>
      <c r="FG45" s="13">
        <f t="shared" si="47"/>
        <v>29.771307279851975</v>
      </c>
      <c r="FH45" s="20">
        <f t="shared" si="22"/>
        <v>246.69319751240889</v>
      </c>
      <c r="FI45" s="59">
        <f t="shared" si="23"/>
        <v>540.02653084574217</v>
      </c>
      <c r="FJ45" s="59">
        <f ca="1">AVERAGE(OFFSET($FI$3,0,0,'Données projet'!$E$16+1,1))-AVERAGE(OFFSET($H$3,0,0,'Données projet'!$E$16+1,1))</f>
        <v>247.22536892257716</v>
      </c>
      <c r="FK45" s="59">
        <f t="shared" si="48"/>
        <v>147.97952262756075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15.403216925552902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15.403216925552902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6">
        <f t="shared" si="1"/>
        <v>341.02413906270732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9.8000000000000007</v>
      </c>
      <c r="N46" s="13">
        <f>IF('Données projet'!$A$36&gt;35,N45+M46-V45,IF(A46&lt;'Données projet'!$A$36,$K$205^A46,IF(A46='Données projet'!$A$36,'Données projet'!$B$36,N45+M46-V45)))</f>
        <v>203.40000000000006</v>
      </c>
      <c r="O46" s="13">
        <f>N46*VLOOKUP('Données projet'!$B$9,Paramètres!$A$1:$I$89,3,0)*VLOOKUP('Données projet'!$B$9,Paramètres!$A$1:$I$89,5,0)</f>
        <v>177.69024000000007</v>
      </c>
      <c r="P46" s="13">
        <f t="shared" si="33"/>
        <v>44.807921499827692</v>
      </c>
      <c r="Q46" s="20">
        <f t="shared" si="53"/>
        <v>387.5176312788667</v>
      </c>
      <c r="R46" s="59">
        <f t="shared" si="0"/>
        <v>680.85096461219996</v>
      </c>
      <c r="S46" s="59">
        <f ca="1">AVERAGE(OFFSET($R$3,0,0,'Données projet'!$E$9+1,1))-AVERAGE(OFFSET($H$3,0,0,'Données projet'!$E$9+1,1))</f>
        <v>253.73326067725128</v>
      </c>
      <c r="T46" s="59">
        <f t="shared" si="34"/>
        <v>317.76427047458026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30.147000968426166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30.147000968426166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24.2</v>
      </c>
      <c r="AI46" s="13">
        <f>IF('Données projet'!$A$62&gt;35,AI45+AH46-AQ45,IF(A46&lt;'Données projet'!$A$62,$AF$205^A46,IF(A46='Données projet'!$A$62,'Données projet'!$B$62,AI45+AH46-AQ45)))</f>
        <v>445.6</v>
      </c>
      <c r="AJ46" s="13">
        <f>AI46*VLOOKUP('Données projet'!$B$10,Paramètres!$A$1:$I$89,3,0)*VLOOKUP('Données projet'!$B$10,Paramètres!$A$1:$I$89,5,0)</f>
        <v>214.33360000000002</v>
      </c>
      <c r="AK46" s="13">
        <f t="shared" si="35"/>
        <v>52.881457597635382</v>
      </c>
      <c r="AL46" s="20">
        <f t="shared" si="4"/>
        <v>465.39955864921495</v>
      </c>
      <c r="AM46" s="59">
        <f t="shared" si="5"/>
        <v>758.73289198254827</v>
      </c>
      <c r="AN46" s="59">
        <f ca="1">AVERAGE(OFFSET($AM$3,0,0,'Données projet'!$E$10+1,1))-AVERAGE(OFFSET($H$3,0,0,'Données projet'!$E$10+1,1))</f>
        <v>349.65790906807746</v>
      </c>
      <c r="AO46" s="59">
        <f t="shared" si="36"/>
        <v>291.88925884278888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39.703978548628712</v>
      </c>
      <c r="AV46" s="21">
        <f>EXP(-LN(2)/25)*AV45+(1-EXP(-LN(2)/25))/(LN(2)/25)*Calculateur!AQ46*Calculateur!AS46*VLOOKUP('Données projet'!$B$10,Paramètres!$A$1:$I$89,3,0)*0.475*44/12</f>
        <v>28.727455996031388</v>
      </c>
      <c r="AW46" s="21">
        <f>EXP(-LN(2)/2)*AW45+(1-EXP(-LN(2)/2))/(LN(2)/2)*AQ46*AT46*VLOOKUP('Données projet'!$B$10,Paramètres!$A$1:$I$89,3,0)*0.475*44/12</f>
        <v>5.6410106565815351E-4</v>
      </c>
      <c r="AX46" s="21">
        <f t="shared" si="6"/>
        <v>68.43199864572577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9.8000000000000007</v>
      </c>
      <c r="BD46" s="12">
        <f>IF('Données projet'!$A$88&gt;35,BD45+BC46-BL45,IF(A46&lt;'Données projet'!$A$88,$BA$205^A46,IF(A46='Données projet'!$A$88,'Données projet'!$B$88,BD45+BC46-BL45)))</f>
        <v>222.40000000000003</v>
      </c>
      <c r="BE46" s="13">
        <f>BD46*VLOOKUP('Données projet'!$B$11,Paramètres!$A$1:$I$89,3,0)*VLOOKUP('Données projet'!$B$11,Paramètres!$A$1:$I$89,5,0)</f>
        <v>176.94144000000003</v>
      </c>
      <c r="BF46" s="13">
        <f t="shared" si="37"/>
        <v>44.641035679901449</v>
      </c>
      <c r="BG46" s="20">
        <f t="shared" si="7"/>
        <v>385.92281180916171</v>
      </c>
      <c r="BH46" s="59">
        <f t="shared" si="8"/>
        <v>679.25614514249503</v>
      </c>
      <c r="BI46" s="59">
        <f ca="1">AVERAGE(OFFSET($BH$3,0,0,'Données projet'!$E$11+1,1))-AVERAGE(OFFSET($H$3,0,0,'Données projet'!$E$11+1,1))</f>
        <v>279.49721661620544</v>
      </c>
      <c r="BJ46" s="59">
        <f t="shared" si="38"/>
        <v>275.18739333988754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29.298349444974999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29.298349444974999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8.1999999999999993</v>
      </c>
      <c r="BY46" s="12">
        <f>IF('Données projet'!$A$114&gt;35,BY45+BX46-CG45,IF(A46&lt;'Données projet'!$A$114,$BV$205^A46,IF(A46='Données projet'!$A$114,'Données projet'!$B$114,BY45+BX46-CG45)))</f>
        <v>188.59999999999997</v>
      </c>
      <c r="BZ46" s="13">
        <f>BY46*VLOOKUP('Données projet'!$B$12,Paramètres!$A$1:$I$89,3,0)*VLOOKUP('Données projet'!$B$12,Paramètres!$A$1:$I$89,5,0)</f>
        <v>182.41391999999996</v>
      </c>
      <c r="CA46" s="13">
        <f t="shared" si="39"/>
        <v>45.85882179981607</v>
      </c>
      <c r="CB46" s="20">
        <f t="shared" si="10"/>
        <v>397.57502530134622</v>
      </c>
      <c r="CC46" s="59">
        <f t="shared" si="11"/>
        <v>690.90835863467953</v>
      </c>
      <c r="CD46" s="59">
        <f ca="1">AVERAGE(OFFSET($CC$3,0,0,'Données projet'!$E$12+1,1))-AVERAGE(OFFSET($H$3,0,0,'Données projet'!$E$12+1,1))</f>
        <v>281.84871057356037</v>
      </c>
      <c r="CE46" s="59">
        <f t="shared" si="40"/>
        <v>276.02211904126887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23.117839325284002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23.117839325284002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9.8000000000000007</v>
      </c>
      <c r="CT46" s="12">
        <f>IF('Données projet'!$A$140&gt;35,CT45+CS46-DB45,IF(A46&lt;'Données projet'!$A$140,$CQ$205^A46,IF(A46='Données projet'!$A$140,'Données projet'!$B$140,CT45+CS46-DB45)))</f>
        <v>222.40000000000003</v>
      </c>
      <c r="CU46" s="17">
        <f>CT46*VLOOKUP('Données projet'!$B$13,Paramètres!$A$1:$I$89,3,0)*VLOOKUP('Données projet'!$B$13,Paramètres!$A$1:$I$89,5,0)</f>
        <v>176.94144000000003</v>
      </c>
      <c r="CV46" s="13">
        <f t="shared" si="41"/>
        <v>44.641035679901449</v>
      </c>
      <c r="CW46" s="20">
        <f t="shared" si="13"/>
        <v>385.92281180916171</v>
      </c>
      <c r="CX46" s="59">
        <f t="shared" si="14"/>
        <v>679.25614514249503</v>
      </c>
      <c r="CY46" s="59">
        <f ca="1">AVERAGE(OFFSET($CX$3,0,0,'Données projet'!$E$13+1,1))-AVERAGE(OFFSET($H$3,0,0,'Données projet'!$E$13+1,1))</f>
        <v>279.49721661620544</v>
      </c>
      <c r="CZ46" s="59">
        <f t="shared" si="42"/>
        <v>275.18739333988754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29.298349444974999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29.298349444974999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8.4</v>
      </c>
      <c r="DO46" s="12">
        <f>IF('Données projet'!$A$166&gt;35,DO45+DN46-DW45,IF(A46&lt;'Données projet'!$A$166,$DL$205^A46,IF(A46='Données projet'!$A$166,'Données projet'!$B$166,DO45+DN46-DW45)))</f>
        <v>141.20000000000005</v>
      </c>
      <c r="DP46" s="17">
        <f>DO46*VLOOKUP('Données projet'!$B$14,Paramètres!$A$1:$I$89,3,0)*VLOOKUP('Données projet'!$B$14,Paramètres!$A$1:$I$89,5,0)</f>
        <v>143.17680000000004</v>
      </c>
      <c r="DQ46" s="13">
        <f t="shared" si="43"/>
        <v>37.023812674521515</v>
      </c>
      <c r="DR46" s="20">
        <f t="shared" si="16"/>
        <v>313.84940040812506</v>
      </c>
      <c r="DS46" s="59">
        <f t="shared" si="17"/>
        <v>607.18273374145838</v>
      </c>
      <c r="DT46" s="59">
        <f ca="1">AVERAGE(OFFSET($DS$3,0,0,'Données projet'!$E$14+1,1))-AVERAGE(OFFSET($H$3,0,0,'Données projet'!$E$14+1,1))</f>
        <v>308.80022073574963</v>
      </c>
      <c r="DU46" s="59">
        <f t="shared" si="44"/>
        <v>183.96267407004115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18.177333340445085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18.177333340445085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8.1999999999999993</v>
      </c>
      <c r="EJ46" s="12">
        <f>IF('Données projet'!$A$192&gt;35,EJ45+EI46-ER45,IF(A46&lt;'Données projet'!$A$192,$EG$205^A46,IF(A46='Données projet'!$A$192,'Données projet'!$B$192,EJ45+EI46-ER45)))</f>
        <v>188.59999999999997</v>
      </c>
      <c r="EK46" s="17">
        <f>EJ46*VLOOKUP('Données projet'!$B$15,Paramètres!$A$1:$I$89,3,0)*VLOOKUP('Données projet'!$B$15,Paramètres!$A$1:$I$89,5,0)</f>
        <v>123.57071999999998</v>
      </c>
      <c r="EL46" s="13">
        <f t="shared" si="45"/>
        <v>32.506384557027673</v>
      </c>
      <c r="EM46" s="20">
        <f t="shared" si="19"/>
        <v>271.83429043682321</v>
      </c>
      <c r="EN46" s="59">
        <f t="shared" si="20"/>
        <v>565.16762377015652</v>
      </c>
      <c r="EO46" s="59">
        <f ca="1">AVERAGE(OFFSET($EN$3,0,0,'Données projet'!$E$15+1,1))-AVERAGE(OFFSET($H$3,0,0,'Données projet'!$E$15+1,1))</f>
        <v>178.71569711875242</v>
      </c>
      <c r="EP46" s="59">
        <f t="shared" si="46"/>
        <v>178.13848582064168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15.660471800998842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15.660471800998842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8.4</v>
      </c>
      <c r="FE46" s="12">
        <f>IF('Données projet'!$A$218&gt;35,FE45+FD46-FM45,IF(A46&lt;'Données projet'!$A$218,$FB$205^A46,IF(A46='Données projet'!$A$218,'Données projet'!$B$218,FE45+FD46-FM45)))</f>
        <v>141.20000000000005</v>
      </c>
      <c r="FF46" s="17">
        <f>FE46*VLOOKUP('Données projet'!$B$16,Paramètres!$A$1:$I$89,3,0)*VLOOKUP('Données projet'!$B$16,Paramètres!$A$1:$I$89,5,0)</f>
        <v>118.94688000000005</v>
      </c>
      <c r="FG46" s="13">
        <f t="shared" si="47"/>
        <v>31.429250481525276</v>
      </c>
      <c r="FH46" s="20">
        <f t="shared" si="22"/>
        <v>261.90509392198993</v>
      </c>
      <c r="FI46" s="59">
        <f t="shared" si="23"/>
        <v>555.23842725532324</v>
      </c>
      <c r="FJ46" s="59">
        <f ca="1">AVERAGE(OFFSET($FI$3,0,0,'Données projet'!$E$16+1,1))-AVERAGE(OFFSET($H$3,0,0,'Données projet'!$E$16+1,1))</f>
        <v>247.22536892257716</v>
      </c>
      <c r="FK46" s="59">
        <f t="shared" si="48"/>
        <v>147.97952262756075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15.101169236677451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15.101169236677451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6">
        <f t="shared" si="1"/>
        <v>342.1013210552274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9.8000000000000007</v>
      </c>
      <c r="N47" s="13">
        <f>IF('Données projet'!$A$36&gt;35,N46+M47-V46,IF(A47&lt;'Données projet'!$A$36,$K$205^A47,IF(A47='Données projet'!$A$36,'Données projet'!$B$36,N46+M47-V46)))</f>
        <v>213.20000000000007</v>
      </c>
      <c r="O47" s="13">
        <f>N47*VLOOKUP('Données projet'!$B$9,Paramètres!$A$1:$I$89,3,0)*VLOOKUP('Données projet'!$B$9,Paramètres!$A$1:$I$89,5,0)</f>
        <v>186.25152000000008</v>
      </c>
      <c r="P47" s="13">
        <f t="shared" si="33"/>
        <v>46.71025851515671</v>
      </c>
      <c r="Q47" s="20">
        <f t="shared" si="53"/>
        <v>405.7417642472314</v>
      </c>
      <c r="R47" s="59">
        <f t="shared" si="0"/>
        <v>699.07509758056472</v>
      </c>
      <c r="S47" s="59">
        <f ca="1">AVERAGE(OFFSET($R$3,0,0,'Données projet'!$E$9+1,1))-AVERAGE(OFFSET($H$3,0,0,'Données projet'!$E$9+1,1))</f>
        <v>253.73326067725128</v>
      </c>
      <c r="T47" s="59">
        <f t="shared" si="34"/>
        <v>317.76427047458026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29.555836667290269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29.555836667290269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24.2</v>
      </c>
      <c r="AI47" s="13">
        <f>IF('Données projet'!$A$62&gt;35,AI46+AH47-AQ46,IF(A47&lt;'Données projet'!$A$62,$AF$205^A47,IF(A47='Données projet'!$A$62,'Données projet'!$B$62,AI46+AH47-AQ46)))</f>
        <v>469.8</v>
      </c>
      <c r="AJ47" s="13">
        <f>AI47*VLOOKUP('Données projet'!$B$10,Paramètres!$A$1:$I$89,3,0)*VLOOKUP('Données projet'!$B$10,Paramètres!$A$1:$I$89,5,0)</f>
        <v>225.97380000000001</v>
      </c>
      <c r="AK47" s="13">
        <f t="shared" si="35"/>
        <v>55.411230198517323</v>
      </c>
      <c r="AL47" s="20">
        <f t="shared" si="4"/>
        <v>490.07892759575094</v>
      </c>
      <c r="AM47" s="59">
        <f t="shared" si="5"/>
        <v>783.41226092908425</v>
      </c>
      <c r="AN47" s="59">
        <f ca="1">AVERAGE(OFFSET($AM$3,0,0,'Données projet'!$E$10+1,1))-AVERAGE(OFFSET($H$3,0,0,'Données projet'!$E$10+1,1))</f>
        <v>349.65790906807746</v>
      </c>
      <c r="AO47" s="59">
        <f t="shared" si="36"/>
        <v>291.88925884278888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38.925407746325781</v>
      </c>
      <c r="AV47" s="21">
        <f>EXP(-LN(2)/25)*AV46+(1-EXP(-LN(2)/25))/(LN(2)/25)*Calculateur!AQ47*Calculateur!AS47*VLOOKUP('Données projet'!$B$10,Paramètres!$A$1:$I$89,3,0)*0.475*44/12</f>
        <v>27.941902201108658</v>
      </c>
      <c r="AW47" s="21">
        <f>EXP(-LN(2)/2)*AW46+(1-EXP(-LN(2)/2))/(LN(2)/2)*AQ47*AT47*VLOOKUP('Données projet'!$B$10,Paramètres!$A$1:$I$89,3,0)*0.475*44/12</f>
        <v>3.9887968880143824E-4</v>
      </c>
      <c r="AX47" s="21">
        <f t="shared" si="6"/>
        <v>66.867708827123238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9.8000000000000007</v>
      </c>
      <c r="BD47" s="12">
        <f>IF('Données projet'!$A$88&gt;35,BD46+BC47-BL46,IF(A47&lt;'Données projet'!$A$88,$BA$205^A47,IF(A47='Données projet'!$A$88,'Données projet'!$B$88,BD46+BC47-BL46)))</f>
        <v>232.20000000000005</v>
      </c>
      <c r="BE47" s="13">
        <f>BD47*VLOOKUP('Données projet'!$B$11,Paramètres!$A$1:$I$89,3,0)*VLOOKUP('Données projet'!$B$11,Paramètres!$A$1:$I$89,5,0)</f>
        <v>184.73832000000004</v>
      </c>
      <c r="BF47" s="13">
        <f t="shared" si="37"/>
        <v>46.374775595471988</v>
      </c>
      <c r="BG47" s="20">
        <f t="shared" si="7"/>
        <v>402.52197482878046</v>
      </c>
      <c r="BH47" s="59">
        <f t="shared" si="8"/>
        <v>695.85530816211372</v>
      </c>
      <c r="BI47" s="59">
        <f ca="1">AVERAGE(OFFSET($BH$3,0,0,'Données projet'!$E$11+1,1))-AVERAGE(OFFSET($H$3,0,0,'Données projet'!$E$11+1,1))</f>
        <v>279.49721661620544</v>
      </c>
      <c r="BJ47" s="59">
        <f t="shared" si="38"/>
        <v>275.18739333988754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28.723826682587664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28.723826682587664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8.1999999999999993</v>
      </c>
      <c r="BY47" s="12">
        <f>IF('Données projet'!$A$114&gt;35,BY46+BX47-CG46,IF(A47&lt;'Données projet'!$A$114,$BV$205^A47,IF(A47='Données projet'!$A$114,'Données projet'!$B$114,BY46+BX47-CG46)))</f>
        <v>196.79999999999995</v>
      </c>
      <c r="BZ47" s="13">
        <f>BY47*VLOOKUP('Données projet'!$B$12,Paramètres!$A$1:$I$89,3,0)*VLOOKUP('Données projet'!$B$12,Paramètres!$A$1:$I$89,5,0)</f>
        <v>190.34495999999996</v>
      </c>
      <c r="CA47" s="13">
        <f t="shared" si="39"/>
        <v>47.616210556101123</v>
      </c>
      <c r="CB47" s="20">
        <f t="shared" si="10"/>
        <v>414.44903871854268</v>
      </c>
      <c r="CC47" s="59">
        <f t="shared" si="11"/>
        <v>707.782372051876</v>
      </c>
      <c r="CD47" s="59">
        <f ca="1">AVERAGE(OFFSET($CC$3,0,0,'Données projet'!$E$12+1,1))-AVERAGE(OFFSET($H$3,0,0,'Données projet'!$E$12+1,1))</f>
        <v>281.84871057356037</v>
      </c>
      <c r="CE47" s="59">
        <f t="shared" si="40"/>
        <v>276.02211904126887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22.664512596604865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22.664512596604865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9.8000000000000007</v>
      </c>
      <c r="CT47" s="12">
        <f>IF('Données projet'!$A$140&gt;35,CT46+CS47-DB46,IF(A47&lt;'Données projet'!$A$140,$CQ$205^A47,IF(A47='Données projet'!$A$140,'Données projet'!$B$140,CT46+CS47-DB46)))</f>
        <v>232.20000000000005</v>
      </c>
      <c r="CU47" s="17">
        <f>CT47*VLOOKUP('Données projet'!$B$13,Paramètres!$A$1:$I$89,3,0)*VLOOKUP('Données projet'!$B$13,Paramètres!$A$1:$I$89,5,0)</f>
        <v>184.73832000000004</v>
      </c>
      <c r="CV47" s="13">
        <f t="shared" si="41"/>
        <v>46.374775595471988</v>
      </c>
      <c r="CW47" s="20">
        <f t="shared" si="13"/>
        <v>402.52197482878046</v>
      </c>
      <c r="CX47" s="59">
        <f t="shared" si="14"/>
        <v>695.85530816211372</v>
      </c>
      <c r="CY47" s="59">
        <f ca="1">AVERAGE(OFFSET($CX$3,0,0,'Données projet'!$E$13+1,1))-AVERAGE(OFFSET($H$3,0,0,'Données projet'!$E$13+1,1))</f>
        <v>279.49721661620544</v>
      </c>
      <c r="CZ47" s="59">
        <f t="shared" si="42"/>
        <v>275.18739333988754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28.723826682587664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28.723826682587664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8.4</v>
      </c>
      <c r="DO47" s="12">
        <f>IF('Données projet'!$A$166&gt;35,DO46+DN47-DW46,IF(A47&lt;'Données projet'!$A$166,$DL$205^A47,IF(A47='Données projet'!$A$166,'Données projet'!$B$166,DO46+DN47-DW46)))</f>
        <v>149.60000000000005</v>
      </c>
      <c r="DP47" s="17">
        <f>DO47*VLOOKUP('Données projet'!$B$14,Paramètres!$A$1:$I$89,3,0)*VLOOKUP('Données projet'!$B$14,Paramètres!$A$1:$I$89,5,0)</f>
        <v>151.69440000000006</v>
      </c>
      <c r="DQ47" s="13">
        <f t="shared" si="43"/>
        <v>38.963392010880654</v>
      </c>
      <c r="DR47" s="20">
        <f t="shared" si="16"/>
        <v>332.06232108561721</v>
      </c>
      <c r="DS47" s="59">
        <f t="shared" si="17"/>
        <v>625.39565441895047</v>
      </c>
      <c r="DT47" s="59">
        <f ca="1">AVERAGE(OFFSET($DS$3,0,0,'Données projet'!$E$14+1,1))-AVERAGE(OFFSET($H$3,0,0,'Données projet'!$E$14+1,1))</f>
        <v>308.80022073574963</v>
      </c>
      <c r="DU47" s="59">
        <f t="shared" si="44"/>
        <v>183.96267407004115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17.820886920717538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17.820886920717538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8.1999999999999993</v>
      </c>
      <c r="EJ47" s="12">
        <f>IF('Données projet'!$A$192&gt;35,EJ46+EI47-ER46,IF(A47&lt;'Données projet'!$A$192,$EG$205^A47,IF(A47='Données projet'!$A$192,'Données projet'!$B$192,EJ46+EI47-ER46)))</f>
        <v>196.79999999999995</v>
      </c>
      <c r="EK47" s="17">
        <f>EJ47*VLOOKUP('Données projet'!$B$15,Paramètres!$A$1:$I$89,3,0)*VLOOKUP('Données projet'!$B$15,Paramètres!$A$1:$I$89,5,0)</f>
        <v>128.94335999999996</v>
      </c>
      <c r="EL47" s="13">
        <f t="shared" si="45"/>
        <v>33.752085002132162</v>
      </c>
      <c r="EM47" s="20">
        <f t="shared" si="19"/>
        <v>283.36123337871345</v>
      </c>
      <c r="EN47" s="59">
        <f t="shared" si="20"/>
        <v>576.69456671204671</v>
      </c>
      <c r="EO47" s="59">
        <f ca="1">AVERAGE(OFFSET($EN$3,0,0,'Données projet'!$E$15+1,1))-AVERAGE(OFFSET($H$3,0,0,'Données projet'!$E$15+1,1))</f>
        <v>178.71569711875242</v>
      </c>
      <c r="EP47" s="59">
        <f t="shared" si="46"/>
        <v>178.13848582064168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15.353379500925877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15.353379500925877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8.4</v>
      </c>
      <c r="FE47" s="12">
        <f>IF('Données projet'!$A$218&gt;35,FE46+FD47-FM46,IF(A47&lt;'Données projet'!$A$218,$FB$205^A47,IF(A47='Données projet'!$A$218,'Données projet'!$B$218,FE46+FD47-FM46)))</f>
        <v>149.60000000000005</v>
      </c>
      <c r="FF47" s="17">
        <f>FE47*VLOOKUP('Données projet'!$B$16,Paramètres!$A$1:$I$89,3,0)*VLOOKUP('Données projet'!$B$16,Paramètres!$A$1:$I$89,5,0)</f>
        <v>126.02304000000005</v>
      </c>
      <c r="FG47" s="13">
        <f t="shared" si="47"/>
        <v>33.075745544773369</v>
      </c>
      <c r="FH47" s="20">
        <f t="shared" si="22"/>
        <v>277.0970514904804</v>
      </c>
      <c r="FI47" s="59">
        <f t="shared" si="23"/>
        <v>570.43038482381371</v>
      </c>
      <c r="FJ47" s="59">
        <f ca="1">AVERAGE(OFFSET($FI$3,0,0,'Données projet'!$E$16+1,1))-AVERAGE(OFFSET($H$3,0,0,'Données projet'!$E$16+1,1))</f>
        <v>247.22536892257716</v>
      </c>
      <c r="FK47" s="59">
        <f t="shared" si="48"/>
        <v>147.97952262756075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14.80504451874995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14.80504451874995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6">
        <f t="shared" si="1"/>
        <v>343.17787039879954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223</v>
      </c>
      <c r="L48" s="12">
        <f>VLOOKUP(A48,'Données projet'!$A$35:$I$55,9,0)</f>
        <v>9.8000000000000007</v>
      </c>
      <c r="M48" s="12">
        <f t="array" ref="M48">INDEX(L:L,MIN(IF(ISNUMBER(L48:L244),ROW(L48:L244),"")))</f>
        <v>9.8000000000000007</v>
      </c>
      <c r="N48" s="13">
        <f>IF('Données projet'!$A$36&gt;35,N47+M48-V47,IF(A48&lt;'Données projet'!$A$36,$K$205^A48,IF(A48='Données projet'!$A$36,'Données projet'!$B$36,N47+M48-V47)))</f>
        <v>223.00000000000009</v>
      </c>
      <c r="O48" s="13">
        <f>N48*VLOOKUP('Données projet'!$B$9,Paramètres!$A$1:$I$89,3,0)*VLOOKUP('Données projet'!$B$9,Paramètres!$A$1:$I$89,5,0)</f>
        <v>194.81280000000012</v>
      </c>
      <c r="P48" s="13">
        <f t="shared" si="33"/>
        <v>48.602440540253902</v>
      </c>
      <c r="Q48" s="20">
        <f t="shared" si="53"/>
        <v>423.9482106076091</v>
      </c>
      <c r="R48" s="59">
        <f t="shared" si="0"/>
        <v>717.28154394094236</v>
      </c>
      <c r="S48" s="59">
        <f ca="1">AVERAGE(OFFSET($R$3,0,0,'Données projet'!$E$9+1,1))-AVERAGE(OFFSET($H$3,0,0,'Données projet'!$E$9+1,1))</f>
        <v>253.73326067725128</v>
      </c>
      <c r="T48" s="59">
        <f t="shared" si="34"/>
        <v>317.76427047458026</v>
      </c>
      <c r="U48" s="15">
        <f>IF(ISNA(VLOOKUP(A48,'Données projet'!$A$35:$I$55,3,0)),0,VLOOKUP(A48,'Données projet'!$A$35:$I$55,3,0))</f>
        <v>7</v>
      </c>
      <c r="V48" s="15">
        <f>IF(ISNA(VLOOKUP(A48,'Données projet'!$A$35:$I$55,4,0)),0,VLOOKUP(A48,'Données projet'!$A$35:$I$55,4,0))</f>
        <v>36</v>
      </c>
      <c r="W48" s="16">
        <f>IF(ISNA(VLOOKUP(A48,'Données projet'!$A$35:$I$55,5,0)),0%,VLOOKUP(A48,'Données projet'!$A$35:$I$55,5,0)*VLOOKUP('Données projet'!$B$9,Paramètres!$A$1:$I$89,7,0))</f>
        <v>0.43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43.925903274233598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43.925903274233598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494</v>
      </c>
      <c r="AG48" s="12">
        <f>VLOOKUP(A48,'Données projet'!$A$61:$I$81,9,0)</f>
        <v>24.2</v>
      </c>
      <c r="AH48" s="12">
        <f t="array" ref="AH48">INDEX(AG:AG,MIN(IF(ISNUMBER(AG48:AG244),ROW(AG48:AG244),"")))</f>
        <v>24.2</v>
      </c>
      <c r="AI48" s="13">
        <f>IF('Données projet'!$A$62&gt;35,AI47+AH48-AQ47,IF(A48&lt;'Données projet'!$A$62,$AF$205^A48,IF(A48='Données projet'!$A$62,'Données projet'!$B$62,AI47+AH48-AQ47)))</f>
        <v>494</v>
      </c>
      <c r="AJ48" s="13">
        <f>AI48*VLOOKUP('Données projet'!$B$10,Paramètres!$A$1:$I$89,3,0)*VLOOKUP('Données projet'!$B$10,Paramètres!$A$1:$I$89,5,0)</f>
        <v>237.614</v>
      </c>
      <c r="AK48" s="13">
        <f t="shared" si="35"/>
        <v>57.92587282196115</v>
      </c>
      <c r="AL48" s="20">
        <f t="shared" si="4"/>
        <v>514.7319451649156</v>
      </c>
      <c r="AM48" s="59">
        <f t="shared" si="5"/>
        <v>808.06527849824897</v>
      </c>
      <c r="AN48" s="59">
        <f ca="1">AVERAGE(OFFSET($AM$3,0,0,'Données projet'!$E$10+1,1))-AVERAGE(OFFSET($H$3,0,0,'Données projet'!$E$10+1,1))</f>
        <v>349.65790906807746</v>
      </c>
      <c r="AO48" s="59">
        <f t="shared" si="36"/>
        <v>291.88925884278888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63</v>
      </c>
      <c r="AR48" s="16">
        <f>IF(ISNA(VLOOKUP(A48,'Données projet'!$A$61:$I$81,5,0)),0%,VLOOKUP(A48,'Données projet'!$A$61:$I$81,5,0)*VLOOKUP('Données projet'!$B$10,Paramètres!$A$1:$I$89,7,0))</f>
        <v>0.55000000000000004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60.271489723826122</v>
      </c>
      <c r="AV48" s="21">
        <f>EXP(-LN(2)/25)*AV47+(1-EXP(-LN(2)/25))/(LN(2)/25)*Calculateur!AQ48*Calculateur!AS48*VLOOKUP('Données projet'!$B$10,Paramètres!$A$1:$I$89,3,0)*0.475*44/12</f>
        <v>27.177829416018568</v>
      </c>
      <c r="AW48" s="21">
        <f>EXP(-LN(2)/2)*AW47+(1-EXP(-LN(2)/2))/(LN(2)/2)*AQ48*AT48*VLOOKUP('Données projet'!$B$10,Paramètres!$A$1:$I$89,3,0)*0.475*44/12</f>
        <v>2.8205053282907676E-4</v>
      </c>
      <c r="AX48" s="21">
        <f t="shared" si="6"/>
        <v>87.449601190377521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242</v>
      </c>
      <c r="BB48" s="12">
        <f>VLOOKUP(A48,'Données projet'!$A$87:$I$107,9,0)</f>
        <v>9.8000000000000007</v>
      </c>
      <c r="BC48" s="12">
        <f t="array" ref="BC48">INDEX(BB:BB,MIN(IF(ISNUMBER(BB48:BB244),ROW(BB48:BB244),"")))</f>
        <v>9.8000000000000007</v>
      </c>
      <c r="BD48" s="12">
        <f>IF('Données projet'!$A$88&gt;35,BD47+BC48-BL47,IF(A48&lt;'Données projet'!$A$88,$BA$205^A48,IF(A48='Données projet'!$A$88,'Données projet'!$B$88,BD47+BC48-BL47)))</f>
        <v>242.00000000000006</v>
      </c>
      <c r="BE48" s="13">
        <f>BD48*VLOOKUP('Données projet'!$B$11,Paramètres!$A$1:$I$89,3,0)*VLOOKUP('Données projet'!$B$11,Paramètres!$A$1:$I$89,5,0)</f>
        <v>192.53520000000006</v>
      </c>
      <c r="BF48" s="13">
        <f t="shared" si="37"/>
        <v>48.100016456123079</v>
      </c>
      <c r="BG48" s="20">
        <f t="shared" si="7"/>
        <v>419.10633532774779</v>
      </c>
      <c r="BH48" s="59">
        <f t="shared" si="8"/>
        <v>712.4396686610811</v>
      </c>
      <c r="BI48" s="59">
        <f ca="1">AVERAGE(OFFSET($BH$3,0,0,'Données projet'!$E$11+1,1))-AVERAGE(OFFSET($H$3,0,0,'Données projet'!$E$11+1,1))</f>
        <v>279.49721661620544</v>
      </c>
      <c r="BJ48" s="59">
        <f t="shared" si="38"/>
        <v>275.18739333988754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24</v>
      </c>
      <c r="BM48" s="16">
        <f>IF(ISNA(VLOOKUP(A48,'Données projet'!$A$87:$I$107,5,0)),0%,VLOOKUP(A48,'Données projet'!$A$87:$I$107,5,0)*VLOOKUP('Données projet'!$B$11,Paramètres!$A$1:$I$89,7,0))</f>
        <v>0.53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39.34796557707206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39.34796557707206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205</v>
      </c>
      <c r="BW48" s="12">
        <f>VLOOKUP(A48,'Données projet'!$A$113:$I$133,9,0)</f>
        <v>8.1999999999999993</v>
      </c>
      <c r="BX48" s="12">
        <f t="array" ref="BX48">INDEX(BW:BW,MIN(IF(ISNUMBER(BW48:BW244),ROW(BW48:BW244),"")))</f>
        <v>8.1999999999999993</v>
      </c>
      <c r="BY48" s="12">
        <f>IF('Données projet'!$A$114&gt;35,BY47+BX48-CG47,IF(A48&lt;'Données projet'!$A$114,$BV$205^A48,IF(A48='Données projet'!$A$114,'Données projet'!$B$114,BY47+BX48-CG47)))</f>
        <v>204.99999999999994</v>
      </c>
      <c r="BZ48" s="13">
        <f>BY48*VLOOKUP('Données projet'!$B$12,Paramètres!$A$1:$I$89,3,0)*VLOOKUP('Données projet'!$B$12,Paramètres!$A$1:$I$89,5,0)</f>
        <v>198.27599999999995</v>
      </c>
      <c r="CA48" s="13">
        <f t="shared" si="39"/>
        <v>49.36509401359271</v>
      </c>
      <c r="CB48" s="20">
        <f t="shared" si="10"/>
        <v>431.30823874034053</v>
      </c>
      <c r="CC48" s="59">
        <f t="shared" si="11"/>
        <v>724.64157207367384</v>
      </c>
      <c r="CD48" s="59">
        <f ca="1">AVERAGE(OFFSET($CC$3,0,0,'Données projet'!$E$12+1,1))-AVERAGE(OFFSET($H$3,0,0,'Données projet'!$E$12+1,1))</f>
        <v>281.84871057356037</v>
      </c>
      <c r="CE48" s="59">
        <f t="shared" si="40"/>
        <v>276.02211904126887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22</v>
      </c>
      <c r="CH48" s="16">
        <f>IF(ISNA(VLOOKUP(A48,'Données projet'!$A$113:$I$133,5,0)),0%,VLOOKUP(A48,'Données projet'!$A$113:$I$133,5,0)*VLOOKUP('Données projet'!$B$12,Paramètres!$A$1:$I$89,7,0))</f>
        <v>0.43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32.334810925830311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32.334810925830311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242</v>
      </c>
      <c r="CR48" s="12">
        <f>VLOOKUP(A48,'Données projet'!$A$139:$I$159,9,0)</f>
        <v>9.8000000000000007</v>
      </c>
      <c r="CS48" s="12">
        <f t="array" ref="CS48">INDEX(CR:CR,MIN(IF(ISNUMBER(CR48:CR244),ROW(CR48:CR244),"")))</f>
        <v>9.8000000000000007</v>
      </c>
      <c r="CT48" s="12">
        <f>IF('Données projet'!$A$140&gt;35,CT47+CS48-DB47,IF(A48&lt;'Données projet'!$A$140,$CQ$205^A48,IF(A48='Données projet'!$A$140,'Données projet'!$B$140,CT47+CS48-DB47)))</f>
        <v>242.00000000000006</v>
      </c>
      <c r="CU48" s="17">
        <f>CT48*VLOOKUP('Données projet'!$B$13,Paramètres!$A$1:$I$89,3,0)*VLOOKUP('Données projet'!$B$13,Paramètres!$A$1:$I$89,5,0)</f>
        <v>192.53520000000006</v>
      </c>
      <c r="CV48" s="13">
        <f t="shared" si="41"/>
        <v>48.100016456123079</v>
      </c>
      <c r="CW48" s="20">
        <f t="shared" si="13"/>
        <v>419.10633532774779</v>
      </c>
      <c r="CX48" s="59">
        <f t="shared" si="14"/>
        <v>712.4396686610811</v>
      </c>
      <c r="CY48" s="59">
        <f ca="1">AVERAGE(OFFSET($CX$3,0,0,'Données projet'!$E$13+1,1))-AVERAGE(OFFSET($H$3,0,0,'Données projet'!$E$13+1,1))</f>
        <v>279.49721661620544</v>
      </c>
      <c r="CZ48" s="59">
        <f t="shared" si="42"/>
        <v>275.18739333988754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24</v>
      </c>
      <c r="DC48" s="16">
        <f>IF(ISNA(VLOOKUP(A48,'Données projet'!$A$139:$I$159,5,0)),0%,VLOOKUP(A48,'Données projet'!$A$139:$I$159,5,0)*VLOOKUP('Données projet'!$B$13,Paramètres!$A$1:$I$89,7,0))</f>
        <v>0.53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39.34796557707206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39.34796557707206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158</v>
      </c>
      <c r="DM48" s="12">
        <f>VLOOKUP(A48,'Données projet'!$A$165:$I$185,9,0)</f>
        <v>8.4</v>
      </c>
      <c r="DN48" s="12">
        <f t="array" ref="DN48">INDEX(DM:DM,MIN(IF(ISNUMBER(DM48:DM244),ROW(DM48:DM244),"")))</f>
        <v>8.4</v>
      </c>
      <c r="DO48" s="12">
        <f>IF('Données projet'!$A$166&gt;35,DO47+DN48-DW47,IF(A48&lt;'Données projet'!$A$166,$DL$205^A48,IF(A48='Données projet'!$A$166,'Données projet'!$B$166,DO47+DN48-DW47)))</f>
        <v>158.00000000000006</v>
      </c>
      <c r="DP48" s="17">
        <f>DO48*VLOOKUP('Données projet'!$B$14,Paramètres!$A$1:$I$89,3,0)*VLOOKUP('Données projet'!$B$14,Paramètres!$A$1:$I$89,5,0)</f>
        <v>160.21200000000007</v>
      </c>
      <c r="DQ48" s="13">
        <f t="shared" si="43"/>
        <v>40.890328912852731</v>
      </c>
      <c r="DR48" s="20">
        <f t="shared" si="16"/>
        <v>350.25322285655193</v>
      </c>
      <c r="DS48" s="59">
        <f t="shared" si="17"/>
        <v>643.58655618988519</v>
      </c>
      <c r="DT48" s="59">
        <f ca="1">AVERAGE(OFFSET($DS$3,0,0,'Données projet'!$E$14+1,1))-AVERAGE(OFFSET($H$3,0,0,'Données projet'!$E$14+1,1))</f>
        <v>308.80022073574963</v>
      </c>
      <c r="DU48" s="59">
        <f t="shared" si="44"/>
        <v>183.96267407004115</v>
      </c>
      <c r="DV48" s="15">
        <f>IF(ISNA(VLOOKUP(A48,'Données projet'!$A$165:$I$185,3,0)),0,VLOOKUP(A48,'Données projet'!$A$165:$I$185,3,0))</f>
        <v>5</v>
      </c>
      <c r="DW48" s="15">
        <f>IF(ISNA(VLOOKUP(A48,'Données projet'!$A$165:$I$185,4,0)),0,VLOOKUP(A48,'Données projet'!$A$165:$I$185,4,0))</f>
        <v>21</v>
      </c>
      <c r="DX48" s="16">
        <f>IF(ISNA(VLOOKUP(A48,'Données projet'!$A$165:$I$185,5,0)),0%,VLOOKUP(A48,'Données projet'!$A$165:$I$185,5,0)*VLOOKUP('Données projet'!$B$14,Paramètres!$A$1:$I$89,7,0))</f>
        <v>0.43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27.593581290433093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27.593581290433093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205</v>
      </c>
      <c r="EH48" s="12">
        <f>VLOOKUP(A48,'Données projet'!$A$191:$I$211,9,0)</f>
        <v>8.1999999999999993</v>
      </c>
      <c r="EI48" s="12">
        <f t="array" ref="EI48">INDEX(EH:EH,MIN(IF(ISNUMBER(EH48:EH244),ROW(EH48:EH244),"")))</f>
        <v>8.1999999999999993</v>
      </c>
      <c r="EJ48" s="12">
        <f>IF('Données projet'!$A$192&gt;35,EJ47+EI48-ER47,IF(A48&lt;'Données projet'!$A$192,$EG$205^A48,IF(A48='Données projet'!$A$192,'Données projet'!$B$192,EJ47+EI48-ER47)))</f>
        <v>204.99999999999994</v>
      </c>
      <c r="EK48" s="17">
        <f>EJ48*VLOOKUP('Données projet'!$B$15,Paramètres!$A$1:$I$89,3,0)*VLOOKUP('Données projet'!$B$15,Paramètres!$A$1:$I$89,5,0)</f>
        <v>134.31599999999995</v>
      </c>
      <c r="EL48" s="13">
        <f t="shared" si="45"/>
        <v>34.991756585122445</v>
      </c>
      <c r="EM48" s="20">
        <f t="shared" si="19"/>
        <v>294.87767605242146</v>
      </c>
      <c r="EN48" s="59">
        <f t="shared" si="20"/>
        <v>588.21100938575478</v>
      </c>
      <c r="EO48" s="59">
        <f ca="1">AVERAGE(OFFSET($EN$3,0,0,'Données projet'!$E$15+1,1))-AVERAGE(OFFSET($H$3,0,0,'Données projet'!$E$15+1,1))</f>
        <v>178.71569711875242</v>
      </c>
      <c r="EP48" s="59">
        <f t="shared" si="46"/>
        <v>178.13848582064168</v>
      </c>
      <c r="EQ48" s="15">
        <f>IF(ISNA(VLOOKUP(A48,'Données projet'!$A$191:$I$211,3,0)),0,VLOOKUP(A48,'Données projet'!$A$191:$I$211,3,0))</f>
        <v>7</v>
      </c>
      <c r="ER48" s="15">
        <f>IF(ISNA(VLOOKUP(A48,'Données projet'!$A$191:$I$211,4,0)),0,VLOOKUP(A48,'Données projet'!$A$191:$I$211,4,0))</f>
        <v>22</v>
      </c>
      <c r="ES48" s="16">
        <f>IF(ISNA(VLOOKUP(A48,'Données projet'!$A$191:$I$211,5,0)),0%,VLOOKUP(A48,'Données projet'!$A$191:$I$211,5,0)*VLOOKUP('Données projet'!$B$15,Paramètres!$A$1:$I$89,7,0))</f>
        <v>0.43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21.904226756207631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21.904226756207631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158</v>
      </c>
      <c r="FC48" s="12">
        <f>VLOOKUP(A48,'Données projet'!$A$217:$I$237,9,0)</f>
        <v>8.4</v>
      </c>
      <c r="FD48" s="12">
        <f t="array" ref="FD48">INDEX(FC:FC,MIN(IF(ISNUMBER(FC48:FC244),ROW(FC48:FC244),"")))</f>
        <v>8.4</v>
      </c>
      <c r="FE48" s="12">
        <f>IF('Données projet'!$A$218&gt;35,FE47+FD48-FM47,IF(A48&lt;'Données projet'!$A$218,$FB$205^A48,IF(A48='Données projet'!$A$218,'Données projet'!$B$218,FE47+FD48-FM47)))</f>
        <v>158.00000000000006</v>
      </c>
      <c r="FF48" s="17">
        <f>FE48*VLOOKUP('Données projet'!$B$16,Paramètres!$A$1:$I$89,3,0)*VLOOKUP('Données projet'!$B$16,Paramètres!$A$1:$I$89,5,0)</f>
        <v>133.09920000000005</v>
      </c>
      <c r="FG48" s="13">
        <f t="shared" si="47"/>
        <v>34.71150853565117</v>
      </c>
      <c r="FH48" s="20">
        <f t="shared" si="22"/>
        <v>292.27031736625918</v>
      </c>
      <c r="FI48" s="59">
        <f t="shared" si="23"/>
        <v>585.60365069959244</v>
      </c>
      <c r="FJ48" s="59">
        <f ca="1">AVERAGE(OFFSET($FI$3,0,0,'Données projet'!$E$16+1,1))-AVERAGE(OFFSET($H$3,0,0,'Données projet'!$E$16+1,1))</f>
        <v>247.22536892257716</v>
      </c>
      <c r="FK48" s="59">
        <f t="shared" si="48"/>
        <v>147.97952262756075</v>
      </c>
      <c r="FL48" s="15">
        <f>IF(ISNA(VLOOKUP(A48,'Données projet'!$A$217:$I$237,3,0)),0,VLOOKUP(A48,'Données projet'!$A$217:$I$237,3,0))</f>
        <v>5</v>
      </c>
      <c r="FM48" s="15">
        <f>IF(ISNA(VLOOKUP(A48,'Données projet'!$A$217:$I$237,4,0)),0,VLOOKUP(A48,'Données projet'!$A$217:$I$237,4,0))</f>
        <v>21</v>
      </c>
      <c r="FN48" s="16">
        <f>IF(ISNA(VLOOKUP(A48,'Données projet'!$A$217:$I$237,5,0)),0%,VLOOKUP(A48,'Données projet'!$A$217:$I$237,5,0)*VLOOKUP('Données projet'!$B$16,Paramètres!$A$1:$I$89,7,0))</f>
        <v>0.43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22.923898302821335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22.923898302821335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6">
        <f t="shared" si="1"/>
        <v>344.25380277106626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8.8000000000000007</v>
      </c>
      <c r="N49" s="13">
        <f>IF('Données projet'!$A$36&gt;35,N48+M49-V48,IF(A49&lt;'Données projet'!$A$36,$K$205^A49,IF(A49='Données projet'!$A$36,'Données projet'!$B$36,N48+M49-V48)))</f>
        <v>195.8000000000001</v>
      </c>
      <c r="O49" s="13">
        <f>N49*VLOOKUP('Données projet'!$B$9,Paramètres!$A$1:$I$89,3,0)*VLOOKUP('Données projet'!$B$9,Paramètres!$A$1:$I$89,5,0)</f>
        <v>171.05088000000012</v>
      </c>
      <c r="P49" s="13">
        <f t="shared" si="33"/>
        <v>43.325301264581704</v>
      </c>
      <c r="Q49" s="20">
        <f t="shared" si="53"/>
        <v>373.37184903581334</v>
      </c>
      <c r="R49" s="59">
        <f t="shared" si="0"/>
        <v>666.70518236914666</v>
      </c>
      <c r="S49" s="59">
        <f ca="1">AVERAGE(OFFSET($R$3,0,0,'Données projet'!$E$9+1,1))-AVERAGE(OFFSET($H$3,0,0,'Données projet'!$E$9+1,1))</f>
        <v>253.73326067725128</v>
      </c>
      <c r="T49" s="59">
        <f t="shared" si="34"/>
        <v>317.76427047458026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43.064543103181371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43.064543103181371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22.8</v>
      </c>
      <c r="AI49" s="13">
        <f>IF('Données projet'!$A$62&gt;35,AI48+AH49-AQ48,IF(A49&lt;'Données projet'!$A$62,$AF$205^A49,IF(A49='Données projet'!$A$62,'Données projet'!$B$62,AI48+AH49-AQ48)))</f>
        <v>453.79999999999995</v>
      </c>
      <c r="AJ49" s="13">
        <f>AI49*VLOOKUP('Données projet'!$B$10,Paramètres!$A$1:$I$89,3,0)*VLOOKUP('Données projet'!$B$10,Paramètres!$A$1:$I$89,5,0)</f>
        <v>218.27779999999998</v>
      </c>
      <c r="AK49" s="13">
        <f t="shared" si="35"/>
        <v>53.740403024328771</v>
      </c>
      <c r="AL49" s="20">
        <f t="shared" si="4"/>
        <v>473.76503693403919</v>
      </c>
      <c r="AM49" s="59">
        <f t="shared" si="5"/>
        <v>767.0983702673725</v>
      </c>
      <c r="AN49" s="59">
        <f ca="1">AVERAGE(OFFSET($AM$3,0,0,'Données projet'!$E$10+1,1))-AVERAGE(OFFSET($H$3,0,0,'Données projet'!$E$10+1,1))</f>
        <v>349.65790906807746</v>
      </c>
      <c r="AO49" s="59">
        <f t="shared" si="36"/>
        <v>291.88925884278888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59.089602572320679</v>
      </c>
      <c r="AV49" s="21">
        <f>EXP(-LN(2)/25)*AV48+(1-EXP(-LN(2)/25))/(LN(2)/25)*Calculateur!AQ49*Calculateur!AS49*VLOOKUP('Données projet'!$B$10,Paramètres!$A$1:$I$89,3,0)*0.475*44/12</f>
        <v>26.434650241417607</v>
      </c>
      <c r="AW49" s="21">
        <f>EXP(-LN(2)/2)*AW48+(1-EXP(-LN(2)/2))/(LN(2)/2)*AQ49*AT49*VLOOKUP('Données projet'!$B$10,Paramètres!$A$1:$I$89,3,0)*0.475*44/12</f>
        <v>1.9943984440071912E-4</v>
      </c>
      <c r="AX49" s="21">
        <f t="shared" si="6"/>
        <v>85.52445225358268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8.6</v>
      </c>
      <c r="BD49" s="12">
        <f>IF('Données projet'!$A$88&gt;35,BD48+BC49-BL48,IF(A49&lt;'Données projet'!$A$88,$BA$205^A49,IF(A49='Données projet'!$A$88,'Données projet'!$B$88,BD48+BC49-BL48)))</f>
        <v>226.60000000000005</v>
      </c>
      <c r="BE49" s="13">
        <f>BD49*VLOOKUP('Données projet'!$B$11,Paramètres!$A$1:$I$89,3,0)*VLOOKUP('Données projet'!$B$11,Paramètres!$A$1:$I$89,5,0)</f>
        <v>180.28296000000006</v>
      </c>
      <c r="BF49" s="13">
        <f t="shared" si="37"/>
        <v>45.385133797071397</v>
      </c>
      <c r="BG49" s="20">
        <f t="shared" si="7"/>
        <v>393.03859669656612</v>
      </c>
      <c r="BH49" s="59">
        <f t="shared" si="8"/>
        <v>686.37193002989943</v>
      </c>
      <c r="BI49" s="59">
        <f ca="1">AVERAGE(OFFSET($BH$3,0,0,'Données projet'!$E$11+1,1))-AVERAGE(OFFSET($H$3,0,0,'Données projet'!$E$11+1,1))</f>
        <v>279.49721661620544</v>
      </c>
      <c r="BJ49" s="59">
        <f t="shared" si="38"/>
        <v>275.18739333988754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38.576375971994885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38.576375971994885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7.2</v>
      </c>
      <c r="BY49" s="12">
        <f>IF('Données projet'!$A$114&gt;35,BY48+BX49-CG48,IF(A49&lt;'Données projet'!$A$114,$BV$205^A49,IF(A49='Données projet'!$A$114,'Données projet'!$B$114,BY48+BX49-CG48)))</f>
        <v>190.19999999999993</v>
      </c>
      <c r="BZ49" s="13">
        <f>BY49*VLOOKUP('Données projet'!$B$12,Paramètres!$A$1:$I$89,3,0)*VLOOKUP('Données projet'!$B$12,Paramètres!$A$1:$I$89,5,0)</f>
        <v>183.96143999999995</v>
      </c>
      <c r="CA49" s="13">
        <f t="shared" si="39"/>
        <v>46.202413833061925</v>
      </c>
      <c r="CB49" s="20">
        <f t="shared" si="10"/>
        <v>400.86871209258271</v>
      </c>
      <c r="CC49" s="59">
        <f t="shared" si="11"/>
        <v>694.20204542591603</v>
      </c>
      <c r="CD49" s="59">
        <f ca="1">AVERAGE(OFFSET($CC$3,0,0,'Données projet'!$E$12+1,1))-AVERAGE(OFFSET($H$3,0,0,'Données projet'!$E$12+1,1))</f>
        <v>281.84871057356037</v>
      </c>
      <c r="CE49" s="59">
        <f t="shared" si="40"/>
        <v>276.02211904126887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31.700745005862029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31.700745005862029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8.6</v>
      </c>
      <c r="CT49" s="12">
        <f>IF('Données projet'!$A$140&gt;35,CT48+CS49-DB48,IF(A49&lt;'Données projet'!$A$140,$CQ$205^A49,IF(A49='Données projet'!$A$140,'Données projet'!$B$140,CT48+CS49-DB48)))</f>
        <v>226.60000000000005</v>
      </c>
      <c r="CU49" s="17">
        <f>CT49*VLOOKUP('Données projet'!$B$13,Paramètres!$A$1:$I$89,3,0)*VLOOKUP('Données projet'!$B$13,Paramètres!$A$1:$I$89,5,0)</f>
        <v>180.28296000000006</v>
      </c>
      <c r="CV49" s="13">
        <f t="shared" si="41"/>
        <v>45.385133797071397</v>
      </c>
      <c r="CW49" s="20">
        <f t="shared" si="13"/>
        <v>393.03859669656612</v>
      </c>
      <c r="CX49" s="59">
        <f t="shared" si="14"/>
        <v>686.37193002989943</v>
      </c>
      <c r="CY49" s="59">
        <f ca="1">AVERAGE(OFFSET($CX$3,0,0,'Données projet'!$E$13+1,1))-AVERAGE(OFFSET($H$3,0,0,'Données projet'!$E$13+1,1))</f>
        <v>279.49721661620544</v>
      </c>
      <c r="CZ49" s="59">
        <f t="shared" si="42"/>
        <v>275.18739333988754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38.576375971994885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38.576375971994885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8.1999999999999993</v>
      </c>
      <c r="DO49" s="12">
        <f>IF('Données projet'!$A$166&gt;35,DO48+DN49-DW48,IF(A49&lt;'Données projet'!$A$166,$DL$205^A49,IF(A49='Données projet'!$A$166,'Données projet'!$B$166,DO48+DN49-DW48)))</f>
        <v>145.20000000000005</v>
      </c>
      <c r="DP49" s="17">
        <f>DO49*VLOOKUP('Données projet'!$B$14,Paramètres!$A$1:$I$89,3,0)*VLOOKUP('Données projet'!$B$14,Paramètres!$A$1:$I$89,5,0)</f>
        <v>147.23280000000005</v>
      </c>
      <c r="DQ49" s="13">
        <f t="shared" si="43"/>
        <v>37.949049623906205</v>
      </c>
      <c r="DR49" s="20">
        <f t="shared" si="16"/>
        <v>322.52505476163668</v>
      </c>
      <c r="DS49" s="59">
        <f t="shared" si="17"/>
        <v>615.85838809497</v>
      </c>
      <c r="DT49" s="59">
        <f ca="1">AVERAGE(OFFSET($DS$3,0,0,'Données projet'!$E$14+1,1))-AVERAGE(OFFSET($H$3,0,0,'Données projet'!$E$14+1,1))</f>
        <v>308.80022073574963</v>
      </c>
      <c r="DU49" s="59">
        <f t="shared" si="44"/>
        <v>183.96267407004115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27.052487991750422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27.052487991750422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7.2</v>
      </c>
      <c r="EJ49" s="12">
        <f>IF('Données projet'!$A$192&gt;35,EJ48+EI49-ER48,IF(A49&lt;'Données projet'!$A$192,$EG$205^A49,IF(A49='Données projet'!$A$192,'Données projet'!$B$192,EJ48+EI49-ER48)))</f>
        <v>190.19999999999993</v>
      </c>
      <c r="EK49" s="17">
        <f>EJ49*VLOOKUP('Données projet'!$B$15,Paramètres!$A$1:$I$89,3,0)*VLOOKUP('Données projet'!$B$15,Paramètres!$A$1:$I$89,5,0)</f>
        <v>124.61903999999996</v>
      </c>
      <c r="EL49" s="13">
        <f t="shared" si="45"/>
        <v>32.749934965107833</v>
      </c>
      <c r="EM49" s="20">
        <f t="shared" si="19"/>
        <v>274.08429806422936</v>
      </c>
      <c r="EN49" s="59">
        <f t="shared" si="20"/>
        <v>567.41763139756267</v>
      </c>
      <c r="EO49" s="59">
        <f ca="1">AVERAGE(OFFSET($EN$3,0,0,'Données projet'!$E$15+1,1))-AVERAGE(OFFSET($H$3,0,0,'Données projet'!$E$15+1,1))</f>
        <v>178.71569711875242</v>
      </c>
      <c r="EP49" s="59">
        <f t="shared" si="46"/>
        <v>178.13848582064168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21.474698229777506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21.474698229777506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8.1999999999999993</v>
      </c>
      <c r="FE49" s="12">
        <f>IF('Données projet'!$A$218&gt;35,FE48+FD49-FM48,IF(A49&lt;'Données projet'!$A$218,$FB$205^A49,IF(A49='Données projet'!$A$218,'Données projet'!$B$218,FE48+FD49-FM48)))</f>
        <v>145.20000000000005</v>
      </c>
      <c r="FF49" s="17">
        <f>FE49*VLOOKUP('Données projet'!$B$16,Paramètres!$A$1:$I$89,3,0)*VLOOKUP('Données projet'!$B$16,Paramètres!$A$1:$I$89,5,0)</f>
        <v>122.31648000000006</v>
      </c>
      <c r="FG49" s="13">
        <f t="shared" si="47"/>
        <v>32.214677527967339</v>
      </c>
      <c r="FH49" s="20">
        <f t="shared" si="22"/>
        <v>269.14176602787654</v>
      </c>
      <c r="FI49" s="59">
        <f t="shared" si="23"/>
        <v>562.47509936120991</v>
      </c>
      <c r="FJ49" s="59">
        <f ca="1">AVERAGE(OFFSET($FI$3,0,0,'Données projet'!$E$16+1,1))-AVERAGE(OFFSET($H$3,0,0,'Données projet'!$E$16+1,1))</f>
        <v>247.22536892257716</v>
      </c>
      <c r="FK49" s="59">
        <f t="shared" si="48"/>
        <v>147.97952262756075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22.474374639300347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22.474374639300347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6">
        <f t="shared" si="1"/>
        <v>345.32913312910375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8.8000000000000007</v>
      </c>
      <c r="N50" s="13">
        <f>IF('Données projet'!$A$36&gt;35,N49+M50-V49,IF(A50&lt;'Données projet'!$A$36,$K$205^A50,IF(A50='Données projet'!$A$36,'Données projet'!$B$36,N49+M50-V49)))</f>
        <v>204.60000000000011</v>
      </c>
      <c r="O50" s="13">
        <f>N50*VLOOKUP('Données projet'!$B$9,Paramètres!$A$1:$I$89,3,0)*VLOOKUP('Données projet'!$B$9,Paramètres!$A$1:$I$89,5,0)</f>
        <v>178.73856000000012</v>
      </c>
      <c r="P50" s="13">
        <f t="shared" si="33"/>
        <v>45.041424241265368</v>
      </c>
      <c r="Q50" s="20">
        <f t="shared" si="53"/>
        <v>389.75013922020406</v>
      </c>
      <c r="R50" s="59">
        <f t="shared" si="0"/>
        <v>683.08347255353738</v>
      </c>
      <c r="S50" s="59">
        <f ca="1">AVERAGE(OFFSET($R$3,0,0,'Données projet'!$E$9+1,1))-AVERAGE(OFFSET($H$3,0,0,'Données projet'!$E$9+1,1))</f>
        <v>253.73326067725128</v>
      </c>
      <c r="T50" s="59">
        <f t="shared" si="34"/>
        <v>317.76427047458026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42.220073679705649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42.220073679705649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22.8</v>
      </c>
      <c r="AI50" s="13">
        <f>IF('Données projet'!$A$62&gt;35,AI49+AH50-AQ49,IF(A50&lt;'Données projet'!$A$62,$AF$205^A50,IF(A50='Données projet'!$A$62,'Données projet'!$B$62,AI49+AH50-AQ49)))</f>
        <v>476.59999999999997</v>
      </c>
      <c r="AJ50" s="13">
        <f>AI50*VLOOKUP('Données projet'!$B$10,Paramètres!$A$1:$I$89,3,0)*VLOOKUP('Données projet'!$B$10,Paramètres!$A$1:$I$89,5,0)</f>
        <v>229.24459999999999</v>
      </c>
      <c r="AK50" s="13">
        <f t="shared" si="35"/>
        <v>56.119315130304294</v>
      </c>
      <c r="AL50" s="20">
        <f t="shared" si="4"/>
        <v>497.00881885194661</v>
      </c>
      <c r="AM50" s="59">
        <f t="shared" si="5"/>
        <v>790.34215218527993</v>
      </c>
      <c r="AN50" s="59">
        <f ca="1">AVERAGE(OFFSET($AM$3,0,0,'Données projet'!$E$10+1,1))-AVERAGE(OFFSET($H$3,0,0,'Données projet'!$E$10+1,1))</f>
        <v>349.65790906807746</v>
      </c>
      <c r="AO50" s="59">
        <f t="shared" si="36"/>
        <v>291.88925884278888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57.930891506976273</v>
      </c>
      <c r="AV50" s="21">
        <f>EXP(-LN(2)/25)*AV49+(1-EXP(-LN(2)/25))/(LN(2)/25)*Calculateur!AQ50*Calculateur!AS50*VLOOKUP('Données projet'!$B$10,Paramètres!$A$1:$I$89,3,0)*0.475*44/12</f>
        <v>25.711793340428205</v>
      </c>
      <c r="AW50" s="21">
        <f>EXP(-LN(2)/2)*AW49+(1-EXP(-LN(2)/2))/(LN(2)/2)*AQ50*AT50*VLOOKUP('Données projet'!$B$10,Paramètres!$A$1:$I$89,3,0)*0.475*44/12</f>
        <v>1.4102526641453838E-4</v>
      </c>
      <c r="AX50" s="21">
        <f t="shared" si="6"/>
        <v>83.642825872670898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8.6</v>
      </c>
      <c r="BD50" s="12">
        <f>IF('Données projet'!$A$88&gt;35,BD49+BC50-BL49,IF(A50&lt;'Données projet'!$A$88,$BA$205^A50,IF(A50='Données projet'!$A$88,'Données projet'!$B$88,BD49+BC50-BL49)))</f>
        <v>235.20000000000005</v>
      </c>
      <c r="BE50" s="13">
        <f>BD50*VLOOKUP('Données projet'!$B$11,Paramètres!$A$1:$I$89,3,0)*VLOOKUP('Données projet'!$B$11,Paramètres!$A$1:$I$89,5,0)</f>
        <v>187.12512000000004</v>
      </c>
      <c r="BF50" s="13">
        <f t="shared" si="37"/>
        <v>46.903794805770545</v>
      </c>
      <c r="BG50" s="20">
        <f t="shared" si="7"/>
        <v>407.60035995338376</v>
      </c>
      <c r="BH50" s="59">
        <f t="shared" si="8"/>
        <v>700.93369328671702</v>
      </c>
      <c r="BI50" s="59">
        <f ca="1">AVERAGE(OFFSET($BH$3,0,0,'Données projet'!$E$11+1,1))-AVERAGE(OFFSET($H$3,0,0,'Données projet'!$E$11+1,1))</f>
        <v>279.49721661620544</v>
      </c>
      <c r="BJ50" s="59">
        <f t="shared" si="38"/>
        <v>275.18739333988754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37.819916768450085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37.819916768450085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7.2</v>
      </c>
      <c r="BY50" s="12">
        <f>IF('Données projet'!$A$114&gt;35,BY49+BX50-CG49,IF(A50&lt;'Données projet'!$A$114,$BV$205^A50,IF(A50='Données projet'!$A$114,'Données projet'!$B$114,BY49+BX50-CG49)))</f>
        <v>197.39999999999992</v>
      </c>
      <c r="BZ50" s="13">
        <f>BY50*VLOOKUP('Données projet'!$B$12,Paramètres!$A$1:$I$89,3,0)*VLOOKUP('Données projet'!$B$12,Paramètres!$A$1:$I$89,5,0)</f>
        <v>190.92527999999993</v>
      </c>
      <c r="CA50" s="13">
        <f t="shared" si="39"/>
        <v>47.74446124692539</v>
      </c>
      <c r="CB50" s="20">
        <f t="shared" si="10"/>
        <v>415.68313267172829</v>
      </c>
      <c r="CC50" s="59">
        <f t="shared" si="11"/>
        <v>709.0164660050616</v>
      </c>
      <c r="CD50" s="59">
        <f ca="1">AVERAGE(OFFSET($CC$3,0,0,'Données projet'!$E$12+1,1))-AVERAGE(OFFSET($H$3,0,0,'Données projet'!$E$12+1,1))</f>
        <v>281.84871057356037</v>
      </c>
      <c r="CE50" s="59">
        <f t="shared" si="40"/>
        <v>276.02211904126887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31.079112731842301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31.079112731842301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8.6</v>
      </c>
      <c r="CT50" s="12">
        <f>IF('Données projet'!$A$140&gt;35,CT49+CS50-DB49,IF(A50&lt;'Données projet'!$A$140,$CQ$205^A50,IF(A50='Données projet'!$A$140,'Données projet'!$B$140,CT49+CS50-DB49)))</f>
        <v>235.20000000000005</v>
      </c>
      <c r="CU50" s="17">
        <f>CT50*VLOOKUP('Données projet'!$B$13,Paramètres!$A$1:$I$89,3,0)*VLOOKUP('Données projet'!$B$13,Paramètres!$A$1:$I$89,5,0)</f>
        <v>187.12512000000004</v>
      </c>
      <c r="CV50" s="13">
        <f t="shared" si="41"/>
        <v>46.903794805770545</v>
      </c>
      <c r="CW50" s="20">
        <f t="shared" si="13"/>
        <v>407.60035995338376</v>
      </c>
      <c r="CX50" s="59">
        <f t="shared" si="14"/>
        <v>700.93369328671702</v>
      </c>
      <c r="CY50" s="59">
        <f ca="1">AVERAGE(OFFSET($CX$3,0,0,'Données projet'!$E$13+1,1))-AVERAGE(OFFSET($H$3,0,0,'Données projet'!$E$13+1,1))</f>
        <v>279.49721661620544</v>
      </c>
      <c r="CZ50" s="59">
        <f t="shared" si="42"/>
        <v>275.18739333988754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37.819916768450085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37.819916768450085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8.1999999999999993</v>
      </c>
      <c r="DO50" s="12">
        <f>IF('Données projet'!$A$166&gt;35,DO49+DN50-DW49,IF(A50&lt;'Données projet'!$A$166,$DL$205^A50,IF(A50='Données projet'!$A$166,'Données projet'!$B$166,DO49+DN50-DW49)))</f>
        <v>153.40000000000003</v>
      </c>
      <c r="DP50" s="17">
        <f>DO50*VLOOKUP('Données projet'!$B$14,Paramètres!$A$1:$I$89,3,0)*VLOOKUP('Données projet'!$B$14,Paramètres!$A$1:$I$89,5,0)</f>
        <v>155.54760000000005</v>
      </c>
      <c r="DQ50" s="13">
        <f t="shared" si="43"/>
        <v>39.836620617816237</v>
      </c>
      <c r="DR50" s="20">
        <f t="shared" si="16"/>
        <v>340.29418424269664</v>
      </c>
      <c r="DS50" s="59">
        <f t="shared" si="17"/>
        <v>633.62751757602996</v>
      </c>
      <c r="DT50" s="59">
        <f ca="1">AVERAGE(OFFSET($DS$3,0,0,'Données projet'!$E$14+1,1))-AVERAGE(OFFSET($H$3,0,0,'Données projet'!$E$14+1,1))</f>
        <v>308.80022073574963</v>
      </c>
      <c r="DU50" s="59">
        <f t="shared" si="44"/>
        <v>183.96267407004115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26.522005202620594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26.522005202620594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7.2</v>
      </c>
      <c r="EJ50" s="12">
        <f>IF('Données projet'!$A$192&gt;35,EJ49+EI50-ER49,IF(A50&lt;'Données projet'!$A$192,$EG$205^A50,IF(A50='Données projet'!$A$192,'Données projet'!$B$192,EJ49+EI50-ER49)))</f>
        <v>197.39999999999992</v>
      </c>
      <c r="EK50" s="17">
        <f>EJ50*VLOOKUP('Données projet'!$B$15,Paramètres!$A$1:$I$89,3,0)*VLOOKUP('Données projet'!$B$15,Paramètres!$A$1:$I$89,5,0)</f>
        <v>129.33647999999994</v>
      </c>
      <c r="EL50" s="13">
        <f t="shared" si="45"/>
        <v>33.84299371090448</v>
      </c>
      <c r="EM50" s="20">
        <f t="shared" si="19"/>
        <v>284.20425004649184</v>
      </c>
      <c r="EN50" s="59">
        <f t="shared" si="20"/>
        <v>577.53758337982515</v>
      </c>
      <c r="EO50" s="59">
        <f ca="1">AVERAGE(OFFSET($EN$3,0,0,'Données projet'!$E$15+1,1))-AVERAGE(OFFSET($H$3,0,0,'Données projet'!$E$15+1,1))</f>
        <v>178.71569711875242</v>
      </c>
      <c r="EP50" s="59">
        <f t="shared" si="46"/>
        <v>178.13848582064168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21.053592495764143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21.053592495764143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8.1999999999999993</v>
      </c>
      <c r="FE50" s="12">
        <f>IF('Données projet'!$A$218&gt;35,FE49+FD50-FM49,IF(A50&lt;'Données projet'!$A$218,$FB$205^A50,IF(A50='Données projet'!$A$218,'Données projet'!$B$218,FE49+FD50-FM49)))</f>
        <v>153.40000000000003</v>
      </c>
      <c r="FF50" s="17">
        <f>FE50*VLOOKUP('Données projet'!$B$16,Paramètres!$A$1:$I$89,3,0)*VLOOKUP('Données projet'!$B$16,Paramètres!$A$1:$I$89,5,0)</f>
        <v>129.22416000000004</v>
      </c>
      <c r="FG50" s="13">
        <f t="shared" si="47"/>
        <v>33.817023080295762</v>
      </c>
      <c r="FH50" s="20">
        <f t="shared" si="22"/>
        <v>283.96339386484851</v>
      </c>
      <c r="FI50" s="59">
        <f t="shared" si="23"/>
        <v>577.29672719818177</v>
      </c>
      <c r="FJ50" s="59">
        <f ca="1">AVERAGE(OFFSET($FI$3,0,0,'Données projet'!$E$16+1,1))-AVERAGE(OFFSET($H$3,0,0,'Données projet'!$E$16+1,1))</f>
        <v>247.22536892257716</v>
      </c>
      <c r="FK50" s="59">
        <f t="shared" si="48"/>
        <v>147.97952262756075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22.033665860638642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22.033665860638642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6">
        <f t="shared" si="1"/>
        <v>346.40387575715488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8.8000000000000007</v>
      </c>
      <c r="N51" s="13">
        <f>IF('Données projet'!$A$36&gt;35,N50+M51-V50,IF(A51&lt;'Données projet'!$A$36,$K$205^A51,IF(A51='Données projet'!$A$36,'Données projet'!$B$36,N50+M51-V50)))</f>
        <v>213.40000000000012</v>
      </c>
      <c r="O51" s="13">
        <f>N51*VLOOKUP('Données projet'!$B$9,Paramètres!$A$1:$I$89,3,0)*VLOOKUP('Données projet'!$B$9,Paramètres!$A$1:$I$89,5,0)</f>
        <v>186.42624000000012</v>
      </c>
      <c r="P51" s="13">
        <f t="shared" si="33"/>
        <v>46.748974211060826</v>
      </c>
      <c r="Q51" s="20">
        <f t="shared" si="53"/>
        <v>406.11349808426445</v>
      </c>
      <c r="R51" s="59">
        <f t="shared" si="0"/>
        <v>699.44683141759776</v>
      </c>
      <c r="S51" s="59">
        <f ca="1">AVERAGE(OFFSET($R$3,0,0,'Données projet'!$E$9+1,1))-AVERAGE(OFFSET($H$3,0,0,'Données projet'!$E$9+1,1))</f>
        <v>253.73326067725128</v>
      </c>
      <c r="T51" s="59">
        <f t="shared" si="34"/>
        <v>317.76427047458026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41.392163786548799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41.392163786548799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22.8</v>
      </c>
      <c r="AI51" s="13">
        <f>IF('Données projet'!$A$62&gt;35,AI50+AH51-AQ50,IF(A51&lt;'Données projet'!$A$62,$AF$205^A51,IF(A51='Données projet'!$A$62,'Données projet'!$B$62,AI50+AH51-AQ50)))</f>
        <v>499.4</v>
      </c>
      <c r="AJ51" s="13">
        <f>AI51*VLOOKUP('Données projet'!$B$10,Paramètres!$A$1:$I$89,3,0)*VLOOKUP('Données projet'!$B$10,Paramètres!$A$1:$I$89,5,0)</f>
        <v>240.2114</v>
      </c>
      <c r="AK51" s="13">
        <f t="shared" si="35"/>
        <v>58.485011891089606</v>
      </c>
      <c r="AL51" s="20">
        <f t="shared" si="4"/>
        <v>520.22958404364772</v>
      </c>
      <c r="AM51" s="59">
        <f t="shared" si="5"/>
        <v>813.56291737698098</v>
      </c>
      <c r="AN51" s="59">
        <f ca="1">AVERAGE(OFFSET($AM$3,0,0,'Données projet'!$E$10+1,1))-AVERAGE(OFFSET($H$3,0,0,'Données projet'!$E$10+1,1))</f>
        <v>349.65790906807746</v>
      </c>
      <c r="AO51" s="59">
        <f t="shared" si="36"/>
        <v>291.88925884278888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56.794902058879309</v>
      </c>
      <c r="AV51" s="21">
        <f>EXP(-LN(2)/25)*AV50+(1-EXP(-LN(2)/25))/(LN(2)/25)*Calculateur!AQ51*Calculateur!AS51*VLOOKUP('Données projet'!$B$10,Paramètres!$A$1:$I$89,3,0)*0.475*44/12</f>
        <v>25.008702999409749</v>
      </c>
      <c r="AW51" s="21">
        <f>EXP(-LN(2)/2)*AW50+(1-EXP(-LN(2)/2))/(LN(2)/2)*AQ51*AT51*VLOOKUP('Données projet'!$B$10,Paramètres!$A$1:$I$89,3,0)*0.475*44/12</f>
        <v>9.9719922200359559E-5</v>
      </c>
      <c r="AX51" s="21">
        <f t="shared" si="6"/>
        <v>81.803704778211269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8.6</v>
      </c>
      <c r="BD51" s="12">
        <f>IF('Données projet'!$A$88&gt;35,BD50+BC51-BL50,IF(A51&lt;'Données projet'!$A$88,$BA$205^A51,IF(A51='Données projet'!$A$88,'Données projet'!$B$88,BD50+BC51-BL50)))</f>
        <v>243.80000000000004</v>
      </c>
      <c r="BE51" s="13">
        <f>BD51*VLOOKUP('Données projet'!$B$11,Paramètres!$A$1:$I$89,3,0)*VLOOKUP('Données projet'!$B$11,Paramètres!$A$1:$I$89,5,0)</f>
        <v>193.96728000000004</v>
      </c>
      <c r="BF51" s="13">
        <f t="shared" si="37"/>
        <v>48.41600442423902</v>
      </c>
      <c r="BG51" s="20">
        <f t="shared" si="7"/>
        <v>422.15088703888301</v>
      </c>
      <c r="BH51" s="59">
        <f t="shared" si="8"/>
        <v>715.48422037221633</v>
      </c>
      <c r="BI51" s="59">
        <f ca="1">AVERAGE(OFFSET($BH$3,0,0,'Données projet'!$E$11+1,1))-AVERAGE(OFFSET($H$3,0,0,'Données projet'!$E$11+1,1))</f>
        <v>279.49721661620544</v>
      </c>
      <c r="BJ51" s="59">
        <f t="shared" si="38"/>
        <v>275.18739333988754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37.078291268492244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37.078291268492244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7.2</v>
      </c>
      <c r="BY51" s="12">
        <f>IF('Données projet'!$A$114&gt;35,BY50+BX51-CG50,IF(A51&lt;'Données projet'!$A$114,$BV$205^A51,IF(A51='Données projet'!$A$114,'Données projet'!$B$114,BY50+BX51-CG50)))</f>
        <v>204.59999999999991</v>
      </c>
      <c r="BZ51" s="13">
        <f>BY51*VLOOKUP('Données projet'!$B$12,Paramètres!$A$1:$I$89,3,0)*VLOOKUP('Données projet'!$B$12,Paramètres!$A$1:$I$89,5,0)</f>
        <v>197.88911999999993</v>
      </c>
      <c r="CA51" s="13">
        <f t="shared" si="39"/>
        <v>49.279974103179534</v>
      </c>
      <c r="CB51" s="20">
        <f t="shared" si="10"/>
        <v>430.48617222970421</v>
      </c>
      <c r="CC51" s="59">
        <f t="shared" si="11"/>
        <v>723.81950556303752</v>
      </c>
      <c r="CD51" s="59">
        <f ca="1">AVERAGE(OFFSET($CC$3,0,0,'Données projet'!$E$12+1,1))-AVERAGE(OFFSET($H$3,0,0,'Données projet'!$E$12+1,1))</f>
        <v>281.84871057356037</v>
      </c>
      <c r="CE51" s="59">
        <f t="shared" si="40"/>
        <v>276.02211904126887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30.46967028755785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30.46967028755785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8.6</v>
      </c>
      <c r="CT51" s="12">
        <f>IF('Données projet'!$A$140&gt;35,CT50+CS51-DB50,IF(A51&lt;'Données projet'!$A$140,$CQ$205^A51,IF(A51='Données projet'!$A$140,'Données projet'!$B$140,CT50+CS51-DB50)))</f>
        <v>243.80000000000004</v>
      </c>
      <c r="CU51" s="17">
        <f>CT51*VLOOKUP('Données projet'!$B$13,Paramètres!$A$1:$I$89,3,0)*VLOOKUP('Données projet'!$B$13,Paramètres!$A$1:$I$89,5,0)</f>
        <v>193.96728000000004</v>
      </c>
      <c r="CV51" s="13">
        <f t="shared" si="41"/>
        <v>48.41600442423902</v>
      </c>
      <c r="CW51" s="20">
        <f t="shared" si="13"/>
        <v>422.15088703888301</v>
      </c>
      <c r="CX51" s="59">
        <f t="shared" si="14"/>
        <v>715.48422037221633</v>
      </c>
      <c r="CY51" s="59">
        <f ca="1">AVERAGE(OFFSET($CX$3,0,0,'Données projet'!$E$13+1,1))-AVERAGE(OFFSET($H$3,0,0,'Données projet'!$E$13+1,1))</f>
        <v>279.49721661620544</v>
      </c>
      <c r="CZ51" s="59">
        <f t="shared" si="42"/>
        <v>275.18739333988754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37.078291268492244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37.078291268492244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8.1999999999999993</v>
      </c>
      <c r="DO51" s="12">
        <f>IF('Données projet'!$A$166&gt;35,DO50+DN51-DW50,IF(A51&lt;'Données projet'!$A$166,$DL$205^A51,IF(A51='Données projet'!$A$166,'Données projet'!$B$166,DO50+DN51-DW50)))</f>
        <v>161.60000000000002</v>
      </c>
      <c r="DP51" s="17">
        <f>DO51*VLOOKUP('Données projet'!$B$14,Paramètres!$A$1:$I$89,3,0)*VLOOKUP('Données projet'!$B$14,Paramètres!$A$1:$I$89,5,0)</f>
        <v>163.86240000000004</v>
      </c>
      <c r="DQ51" s="13">
        <f t="shared" si="43"/>
        <v>41.712477409029084</v>
      </c>
      <c r="DR51" s="20">
        <f t="shared" si="16"/>
        <v>358.0429114873923</v>
      </c>
      <c r="DS51" s="59">
        <f t="shared" si="17"/>
        <v>651.37624482072556</v>
      </c>
      <c r="DT51" s="59">
        <f ca="1">AVERAGE(OFFSET($DS$3,0,0,'Données projet'!$E$14+1,1))-AVERAGE(OFFSET($H$3,0,0,'Données projet'!$E$14+1,1))</f>
        <v>308.80022073574963</v>
      </c>
      <c r="DU51" s="59">
        <f t="shared" si="44"/>
        <v>183.96267407004115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26.001924857423049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26.001924857423049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7.2</v>
      </c>
      <c r="EJ51" s="12">
        <f>IF('Données projet'!$A$192&gt;35,EJ50+EI51-ER50,IF(A51&lt;'Données projet'!$A$192,$EG$205^A51,IF(A51='Données projet'!$A$192,'Données projet'!$B$192,EJ50+EI51-ER50)))</f>
        <v>204.59999999999991</v>
      </c>
      <c r="EK51" s="17">
        <f>EJ51*VLOOKUP('Données projet'!$B$15,Paramètres!$A$1:$I$89,3,0)*VLOOKUP('Données projet'!$B$15,Paramètres!$A$1:$I$89,5,0)</f>
        <v>134.05391999999995</v>
      </c>
      <c r="EL51" s="13">
        <f t="shared" si="45"/>
        <v>34.931420526916924</v>
      </c>
      <c r="EM51" s="20">
        <f t="shared" si="19"/>
        <v>294.31613475104683</v>
      </c>
      <c r="EN51" s="59">
        <f t="shared" si="20"/>
        <v>587.64946808438015</v>
      </c>
      <c r="EO51" s="59">
        <f ca="1">AVERAGE(OFFSET($EN$3,0,0,'Données projet'!$E$15+1,1))-AVERAGE(OFFSET($H$3,0,0,'Données projet'!$E$15+1,1))</f>
        <v>178.71569711875242</v>
      </c>
      <c r="EP51" s="59">
        <f t="shared" si="46"/>
        <v>178.13848582064168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20.640744388345645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20.640744388345645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8.1999999999999993</v>
      </c>
      <c r="FE51" s="12">
        <f>IF('Données projet'!$A$218&gt;35,FE50+FD51-FM50,IF(A51&lt;'Données projet'!$A$218,$FB$205^A51,IF(A51='Données projet'!$A$218,'Données projet'!$B$218,FE50+FD51-FM50)))</f>
        <v>161.60000000000002</v>
      </c>
      <c r="FF51" s="17">
        <f>FE51*VLOOKUP('Données projet'!$B$16,Paramètres!$A$1:$I$89,3,0)*VLOOKUP('Données projet'!$B$16,Paramètres!$A$1:$I$89,5,0)</f>
        <v>136.13184000000004</v>
      </c>
      <c r="FG51" s="13">
        <f t="shared" si="47"/>
        <v>35.40942452951419</v>
      </c>
      <c r="FH51" s="20">
        <f t="shared" si="22"/>
        <v>298.7677023889039</v>
      </c>
      <c r="FI51" s="59">
        <f t="shared" si="23"/>
        <v>592.10103572223716</v>
      </c>
      <c r="FJ51" s="59">
        <f ca="1">AVERAGE(OFFSET($FI$3,0,0,'Données projet'!$E$16+1,1))-AVERAGE(OFFSET($H$3,0,0,'Données projet'!$E$16+1,1))</f>
        <v>247.22536892257716</v>
      </c>
      <c r="FK51" s="59">
        <f t="shared" si="48"/>
        <v>147.97952262756075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21.601599112320681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21.601599112320681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6">
        <f t="shared" si="1"/>
        <v>347.47804431027294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8.8000000000000007</v>
      </c>
      <c r="N52" s="13">
        <f>IF('Données projet'!$A$36&gt;35,N51+M52-V51,IF(A52&lt;'Données projet'!$A$36,$K$205^A52,IF(A52='Données projet'!$A$36,'Données projet'!$B$36,N51+M52-V51)))</f>
        <v>222.20000000000013</v>
      </c>
      <c r="O52" s="13">
        <f>N52*VLOOKUP('Données projet'!$B$9,Paramètres!$A$1:$I$89,3,0)*VLOOKUP('Données projet'!$B$9,Paramètres!$A$1:$I$89,5,0)</f>
        <v>194.11392000000015</v>
      </c>
      <c r="P52" s="13">
        <f t="shared" si="33"/>
        <v>48.448345132424009</v>
      </c>
      <c r="Q52" s="20">
        <f t="shared" si="53"/>
        <v>422.46261177230537</v>
      </c>
      <c r="R52" s="59">
        <f t="shared" si="0"/>
        <v>715.79594510563868</v>
      </c>
      <c r="S52" s="59">
        <f ca="1">AVERAGE(OFFSET($R$3,0,0,'Données projet'!$E$9+1,1))-AVERAGE(OFFSET($H$3,0,0,'Données projet'!$E$9+1,1))</f>
        <v>253.73326067725128</v>
      </c>
      <c r="T52" s="59">
        <f t="shared" si="34"/>
        <v>317.76427047458026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40.580488701421579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40.580488701421579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22.8</v>
      </c>
      <c r="AI52" s="13">
        <f>IF('Données projet'!$A$62&gt;35,AI51+AH52-AQ51,IF(A52&lt;'Données projet'!$A$62,$AF$205^A52,IF(A52='Données projet'!$A$62,'Données projet'!$B$62,AI51+AH52-AQ51)))</f>
        <v>522.19999999999993</v>
      </c>
      <c r="AJ52" s="13">
        <f>AI52*VLOOKUP('Données projet'!$B$10,Paramètres!$A$1:$I$89,3,0)*VLOOKUP('Données projet'!$B$10,Paramètres!$A$1:$I$89,5,0)</f>
        <v>251.17819999999998</v>
      </c>
      <c r="AK52" s="13">
        <f t="shared" si="35"/>
        <v>60.838165570334283</v>
      </c>
      <c r="AL52" s="20">
        <f t="shared" si="4"/>
        <v>543.42850336833214</v>
      </c>
      <c r="AM52" s="59">
        <f t="shared" si="5"/>
        <v>836.76183670166552</v>
      </c>
      <c r="AN52" s="59">
        <f ca="1">AVERAGE(OFFSET($AM$3,0,0,'Données projet'!$E$10+1,1))-AVERAGE(OFFSET($H$3,0,0,'Données projet'!$E$10+1,1))</f>
        <v>349.65790906807746</v>
      </c>
      <c r="AO52" s="59">
        <f t="shared" si="36"/>
        <v>291.88925884278888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55.681188670974379</v>
      </c>
      <c r="AV52" s="21">
        <f>EXP(-LN(2)/25)*AV51+(1-EXP(-LN(2)/25))/(LN(2)/25)*Calculateur!AQ52*Calculateur!AS52*VLOOKUP('Données projet'!$B$10,Paramètres!$A$1:$I$89,3,0)*0.475*44/12</f>
        <v>24.324838700740358</v>
      </c>
      <c r="AW52" s="21">
        <f>EXP(-LN(2)/2)*AW51+(1-EXP(-LN(2)/2))/(LN(2)/2)*AQ52*AT52*VLOOKUP('Données projet'!$B$10,Paramètres!$A$1:$I$89,3,0)*0.475*44/12</f>
        <v>7.0512633207269189E-5</v>
      </c>
      <c r="AX52" s="21">
        <f t="shared" si="6"/>
        <v>80.006097884347938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8.6</v>
      </c>
      <c r="BD52" s="12">
        <f>IF('Données projet'!$A$88&gt;35,BD51+BC52-BL51,IF(A52&lt;'Données projet'!$A$88,$BA$205^A52,IF(A52='Données projet'!$A$88,'Données projet'!$B$88,BD51+BC52-BL51)))</f>
        <v>252.40000000000003</v>
      </c>
      <c r="BE52" s="13">
        <f>BD52*VLOOKUP('Données projet'!$B$11,Paramètres!$A$1:$I$89,3,0)*VLOOKUP('Données projet'!$B$11,Paramètres!$A$1:$I$89,5,0)</f>
        <v>200.80944000000002</v>
      </c>
      <c r="BF52" s="13">
        <f t="shared" si="37"/>
        <v>49.922016299484312</v>
      </c>
      <c r="BG52" s="20">
        <f t="shared" si="7"/>
        <v>436.69061972160188</v>
      </c>
      <c r="BH52" s="59">
        <f t="shared" si="8"/>
        <v>730.02395305493519</v>
      </c>
      <c r="BI52" s="59">
        <f ca="1">AVERAGE(OFFSET($BH$3,0,0,'Données projet'!$E$11+1,1))-AVERAGE(OFFSET($H$3,0,0,'Données projet'!$E$11+1,1))</f>
        <v>279.49721661620544</v>
      </c>
      <c r="BJ52" s="59">
        <f t="shared" si="38"/>
        <v>275.18739333988754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36.35120859224169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36.35120859224169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7.2</v>
      </c>
      <c r="BY52" s="12">
        <f>IF('Données projet'!$A$114&gt;35,BY51+BX52-CG51,IF(A52&lt;'Données projet'!$A$114,$BV$205^A52,IF(A52='Données projet'!$A$114,'Données projet'!$B$114,BY51+BX52-CG51)))</f>
        <v>211.7999999999999</v>
      </c>
      <c r="BZ52" s="13">
        <f>BY52*VLOOKUP('Données projet'!$B$12,Paramètres!$A$1:$I$89,3,0)*VLOOKUP('Données projet'!$B$12,Paramètres!$A$1:$I$89,5,0)</f>
        <v>204.85295999999991</v>
      </c>
      <c r="CA52" s="13">
        <f t="shared" si="39"/>
        <v>50.809208706178609</v>
      </c>
      <c r="CB52" s="20">
        <f t="shared" si="10"/>
        <v>445.27827716326095</v>
      </c>
      <c r="CC52" s="59">
        <f t="shared" si="11"/>
        <v>738.61161049659427</v>
      </c>
      <c r="CD52" s="59">
        <f ca="1">AVERAGE(OFFSET($CC$3,0,0,'Données projet'!$E$12+1,1))-AVERAGE(OFFSET($H$3,0,0,'Données projet'!$E$12+1,1))</f>
        <v>281.84871057356037</v>
      </c>
      <c r="CE52" s="59">
        <f t="shared" si="40"/>
        <v>276.02211904126887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29.872178637882634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29.872178637882634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8.6</v>
      </c>
      <c r="CT52" s="12">
        <f>IF('Données projet'!$A$140&gt;35,CT51+CS52-DB51,IF(A52&lt;'Données projet'!$A$140,$CQ$205^A52,IF(A52='Données projet'!$A$140,'Données projet'!$B$140,CT51+CS52-DB51)))</f>
        <v>252.40000000000003</v>
      </c>
      <c r="CU52" s="17">
        <f>CT52*VLOOKUP('Données projet'!$B$13,Paramètres!$A$1:$I$89,3,0)*VLOOKUP('Données projet'!$B$13,Paramètres!$A$1:$I$89,5,0)</f>
        <v>200.80944000000002</v>
      </c>
      <c r="CV52" s="13">
        <f t="shared" si="41"/>
        <v>49.922016299484312</v>
      </c>
      <c r="CW52" s="20">
        <f t="shared" si="13"/>
        <v>436.69061972160188</v>
      </c>
      <c r="CX52" s="59">
        <f t="shared" si="14"/>
        <v>730.02395305493519</v>
      </c>
      <c r="CY52" s="59">
        <f ca="1">AVERAGE(OFFSET($CX$3,0,0,'Données projet'!$E$13+1,1))-AVERAGE(OFFSET($H$3,0,0,'Données projet'!$E$13+1,1))</f>
        <v>279.49721661620544</v>
      </c>
      <c r="CZ52" s="59">
        <f t="shared" si="42"/>
        <v>275.18739333988754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36.35120859224169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36.35120859224169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8.1999999999999993</v>
      </c>
      <c r="DO52" s="12">
        <f>IF('Données projet'!$A$166&gt;35,DO51+DN52-DW51,IF(A52&lt;'Données projet'!$A$166,$DL$205^A52,IF(A52='Données projet'!$A$166,'Données projet'!$B$166,DO51+DN52-DW51)))</f>
        <v>169.8</v>
      </c>
      <c r="DP52" s="17">
        <f>DO52*VLOOKUP('Données projet'!$B$14,Paramètres!$A$1:$I$89,3,0)*VLOOKUP('Données projet'!$B$14,Paramètres!$A$1:$I$89,5,0)</f>
        <v>172.1772</v>
      </c>
      <c r="DQ52" s="13">
        <f t="shared" si="43"/>
        <v>43.577282221917017</v>
      </c>
      <c r="DR52" s="20">
        <f t="shared" si="16"/>
        <v>375.77238986983883</v>
      </c>
      <c r="DS52" s="59">
        <f t="shared" si="17"/>
        <v>669.10572320317215</v>
      </c>
      <c r="DT52" s="59">
        <f ca="1">AVERAGE(OFFSET($DS$3,0,0,'Données projet'!$E$14+1,1))-AVERAGE(OFFSET($H$3,0,0,'Données projet'!$E$14+1,1))</f>
        <v>308.80022073574963</v>
      </c>
      <c r="DU52" s="59">
        <f t="shared" si="44"/>
        <v>183.96267407004115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25.492042970577138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25.492042970577138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7.2</v>
      </c>
      <c r="EJ52" s="12">
        <f>IF('Données projet'!$A$192&gt;35,EJ51+EI52-ER51,IF(A52&lt;'Données projet'!$A$192,$EG$205^A52,IF(A52='Données projet'!$A$192,'Données projet'!$B$192,EJ51+EI52-ER51)))</f>
        <v>211.7999999999999</v>
      </c>
      <c r="EK52" s="17">
        <f>EJ52*VLOOKUP('Données projet'!$B$15,Paramètres!$A$1:$I$89,3,0)*VLOOKUP('Données projet'!$B$15,Paramètres!$A$1:$I$89,5,0)</f>
        <v>138.77135999999993</v>
      </c>
      <c r="EL52" s="13">
        <f t="shared" si="45"/>
        <v>36.015397090902717</v>
      </c>
      <c r="EM52" s="20">
        <f t="shared" si="19"/>
        <v>304.42026859998879</v>
      </c>
      <c r="EN52" s="59">
        <f t="shared" si="20"/>
        <v>597.7536019333221</v>
      </c>
      <c r="EO52" s="59">
        <f ca="1">AVERAGE(OFFSET($EN$3,0,0,'Données projet'!$E$15+1,1))-AVERAGE(OFFSET($H$3,0,0,'Données projet'!$E$15+1,1))</f>
        <v>178.71569711875242</v>
      </c>
      <c r="EP52" s="59">
        <f t="shared" si="46"/>
        <v>178.13848582064168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20.235991980501144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20.235991980501144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8.1999999999999993</v>
      </c>
      <c r="FE52" s="12">
        <f>IF('Données projet'!$A$218&gt;35,FE51+FD52-FM51,IF(A52&lt;'Données projet'!$A$218,$FB$205^A52,IF(A52='Données projet'!$A$218,'Données projet'!$B$218,FE51+FD52-FM51)))</f>
        <v>169.8</v>
      </c>
      <c r="FF52" s="17">
        <f>FE52*VLOOKUP('Données projet'!$B$16,Paramètres!$A$1:$I$89,3,0)*VLOOKUP('Données projet'!$B$16,Paramètres!$A$1:$I$89,5,0)</f>
        <v>143.03952000000001</v>
      </c>
      <c r="FG52" s="13">
        <f t="shared" si="47"/>
        <v>36.992444033168439</v>
      </c>
      <c r="FH52" s="20">
        <f t="shared" si="22"/>
        <v>313.55567069110168</v>
      </c>
      <c r="FI52" s="59">
        <f t="shared" si="23"/>
        <v>606.88900402443505</v>
      </c>
      <c r="FJ52" s="59">
        <f ca="1">AVERAGE(OFFSET($FI$3,0,0,'Données projet'!$E$16+1,1))-AVERAGE(OFFSET($H$3,0,0,'Données projet'!$E$16+1,1))</f>
        <v>247.22536892257716</v>
      </c>
      <c r="FK52" s="59">
        <f t="shared" si="48"/>
        <v>147.97952262756075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21.17800492940254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21.17800492940254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6">
        <f t="shared" si="1"/>
        <v>348.55165185430155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231</v>
      </c>
      <c r="L53" s="12">
        <f>VLOOKUP(A53,'Données projet'!$A$35:$I$55,9,0)</f>
        <v>8.8000000000000007</v>
      </c>
      <c r="M53" s="12">
        <f t="array" ref="M53">INDEX(L:L,MIN(IF(ISNUMBER(L53:L249),ROW(L53:L249),"")))</f>
        <v>8.8000000000000007</v>
      </c>
      <c r="N53" s="13">
        <f>IF('Données projet'!$A$36&gt;35,N52+M53-V52,IF(A53&lt;'Données projet'!$A$36,$K$205^A53,IF(A53='Données projet'!$A$36,'Données projet'!$B$36,N52+M53-V52)))</f>
        <v>231.00000000000014</v>
      </c>
      <c r="O53" s="13">
        <f>N53*VLOOKUP('Données projet'!$B$9,Paramètres!$A$1:$I$89,3,0)*VLOOKUP('Données projet'!$B$9,Paramètres!$A$1:$I$89,5,0)</f>
        <v>201.80160000000015</v>
      </c>
      <c r="P53" s="13">
        <f t="shared" si="33"/>
        <v>50.139897992681711</v>
      </c>
      <c r="Q53" s="20">
        <f t="shared" si="53"/>
        <v>438.7981090039209</v>
      </c>
      <c r="R53" s="59">
        <f t="shared" si="0"/>
        <v>732.13144233725416</v>
      </c>
      <c r="S53" s="59">
        <f ca="1">AVERAGE(OFFSET($R$3,0,0,'Données projet'!$E$9+1,1))-AVERAGE(OFFSET($H$3,0,0,'Données projet'!$E$9+1,1))</f>
        <v>253.73326067725128</v>
      </c>
      <c r="T53" s="59">
        <f t="shared" si="34"/>
        <v>317.76427047458026</v>
      </c>
      <c r="U53" s="15">
        <f>IF(ISNA(VLOOKUP(A53,'Données projet'!$A$35:$I$55,3,0)),0,VLOOKUP(A53,'Données projet'!$A$35:$I$55,3,0))</f>
        <v>8</v>
      </c>
      <c r="V53" s="15">
        <f>IF(ISNA(VLOOKUP(A53,'Données projet'!$A$35:$I$55,4,0)),0,VLOOKUP(A53,'Données projet'!$A$35:$I$55,4,0))</f>
        <v>33</v>
      </c>
      <c r="W53" s="16">
        <f>IF(ISNA(VLOOKUP(A53,'Données projet'!$A$35:$I$55,5,0)),0%,VLOOKUP(A53,'Données projet'!$A$35:$I$55,5,0)*VLOOKUP('Données projet'!$B$9,Paramètres!$A$1:$I$89,7,0))</f>
        <v>0.43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53.488565394956979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53.488565394956979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545</v>
      </c>
      <c r="AG53" s="12">
        <f>VLOOKUP(A53,'Données projet'!$A$61:$I$81,9,0)</f>
        <v>22.8</v>
      </c>
      <c r="AH53" s="12">
        <f t="array" ref="AH53">INDEX(AG:AG,MIN(IF(ISNUMBER(AG53:AG249),ROW(AG53:AG249),"")))</f>
        <v>22.8</v>
      </c>
      <c r="AI53" s="13">
        <f>IF('Données projet'!$A$62&gt;35,AI52+AH53-AQ52,IF(A53&lt;'Données projet'!$A$62,$AF$205^A53,IF(A53='Données projet'!$A$62,'Données projet'!$B$62,AI52+AH53-AQ52)))</f>
        <v>544.99999999999989</v>
      </c>
      <c r="AJ53" s="13">
        <f>AI53*VLOOKUP('Données projet'!$B$10,Paramètres!$A$1:$I$89,3,0)*VLOOKUP('Données projet'!$B$10,Paramètres!$A$1:$I$89,5,0)</f>
        <v>262.14499999999992</v>
      </c>
      <c r="AK53" s="13">
        <f t="shared" si="35"/>
        <v>63.179386408128337</v>
      </c>
      <c r="AL53" s="20">
        <f t="shared" si="4"/>
        <v>566.60663966082336</v>
      </c>
      <c r="AM53" s="59">
        <f t="shared" si="5"/>
        <v>859.93997299415673</v>
      </c>
      <c r="AN53" s="59">
        <f ca="1">AVERAGE(OFFSET($AM$3,0,0,'Données projet'!$E$10+1,1))-AVERAGE(OFFSET($H$3,0,0,'Données projet'!$E$10+1,1))</f>
        <v>349.65790906807746</v>
      </c>
      <c r="AO53" s="59">
        <f t="shared" si="36"/>
        <v>291.88925884278888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63</v>
      </c>
      <c r="AR53" s="16">
        <f>IF(ISNA(VLOOKUP(A53,'Données projet'!$A$61:$I$81,5,0)),0%,VLOOKUP(A53,'Données projet'!$A$61:$I$81,5,0)*VLOOKUP('Données projet'!$B$10,Paramètres!$A$1:$I$89,7,0))</f>
        <v>0.55000000000000004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76.698700004559583</v>
      </c>
      <c r="AV53" s="21">
        <f>EXP(-LN(2)/25)*AV52+(1-EXP(-LN(2)/25))/(LN(2)/25)*Calculateur!AQ53*Calculateur!AS53*VLOOKUP('Données projet'!$B$10,Paramètres!$A$1:$I$89,3,0)*0.475*44/12</f>
        <v>23.659674707280942</v>
      </c>
      <c r="AW53" s="21">
        <f>EXP(-LN(2)/2)*AW52+(1-EXP(-LN(2)/2))/(LN(2)/2)*AQ53*AT53*VLOOKUP('Données projet'!$B$10,Paramètres!$A$1:$I$89,3,0)*0.475*44/12</f>
        <v>4.985996110017978E-5</v>
      </c>
      <c r="AX53" s="21">
        <f t="shared" si="6"/>
        <v>100.35842457180162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261</v>
      </c>
      <c r="BB53" s="12">
        <f>VLOOKUP(A53,'Données projet'!$A$87:$I$107,9,0)</f>
        <v>8.6</v>
      </c>
      <c r="BC53" s="12">
        <f t="array" ref="BC53">INDEX(BB:BB,MIN(IF(ISNUMBER(BB53:BB249),ROW(BB53:BB249),"")))</f>
        <v>8.6</v>
      </c>
      <c r="BD53" s="12">
        <f>IF('Données projet'!$A$88&gt;35,BD52+BC53-BL52,IF(A53&lt;'Données projet'!$A$88,$BA$205^A53,IF(A53='Données projet'!$A$88,'Données projet'!$B$88,BD52+BC53-BL52)))</f>
        <v>261.00000000000006</v>
      </c>
      <c r="BE53" s="13">
        <f>BD53*VLOOKUP('Données projet'!$B$11,Paramètres!$A$1:$I$89,3,0)*VLOOKUP('Données projet'!$B$11,Paramètres!$A$1:$I$89,5,0)</f>
        <v>207.65160000000006</v>
      </c>
      <c r="BF53" s="13">
        <f t="shared" si="37"/>
        <v>51.422065813018108</v>
      </c>
      <c r="BG53" s="20">
        <f t="shared" si="7"/>
        <v>451.2199679576733</v>
      </c>
      <c r="BH53" s="59">
        <f t="shared" si="8"/>
        <v>744.55330129100662</v>
      </c>
      <c r="BI53" s="59">
        <f ca="1">AVERAGE(OFFSET($BH$3,0,0,'Données projet'!$E$11+1,1))-AVERAGE(OFFSET($H$3,0,0,'Données projet'!$E$11+1,1))</f>
        <v>279.49721661620544</v>
      </c>
      <c r="BJ53" s="59">
        <f t="shared" si="38"/>
        <v>275.18739333988754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19</v>
      </c>
      <c r="BM53" s="16">
        <f>IF(ISNA(VLOOKUP(A53,'Données projet'!$A$87:$I$107,5,0)),0%,VLOOKUP(A53,'Données projet'!$A$87:$I$107,5,0)*VLOOKUP('Données projet'!$B$11,Paramètres!$A$1:$I$89,7,0))</f>
        <v>0.53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44.495071759736859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44.495071759736859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219</v>
      </c>
      <c r="BW53" s="12">
        <f>VLOOKUP(A53,'Données projet'!$A$113:$I$133,9,0)</f>
        <v>7.2</v>
      </c>
      <c r="BX53" s="12">
        <f t="array" ref="BX53">INDEX(BW:BW,MIN(IF(ISNUMBER(BW53:BW249),ROW(BW53:BW249),"")))</f>
        <v>7.2</v>
      </c>
      <c r="BY53" s="12">
        <f>IF('Données projet'!$A$114&gt;35,BY52+BX53-CG52,IF(A53&lt;'Données projet'!$A$114,$BV$205^A53,IF(A53='Données projet'!$A$114,'Données projet'!$B$114,BY52+BX53-CG52)))</f>
        <v>218.99999999999989</v>
      </c>
      <c r="BZ53" s="13">
        <f>BY53*VLOOKUP('Données projet'!$B$12,Paramètres!$A$1:$I$89,3,0)*VLOOKUP('Données projet'!$B$12,Paramètres!$A$1:$I$89,5,0)</f>
        <v>211.81679999999989</v>
      </c>
      <c r="CA53" s="13">
        <f t="shared" si="39"/>
        <v>52.332402945946782</v>
      </c>
      <c r="CB53" s="20">
        <f t="shared" si="10"/>
        <v>460.05986179752381</v>
      </c>
      <c r="CC53" s="59">
        <f t="shared" si="11"/>
        <v>753.39319513085707</v>
      </c>
      <c r="CD53" s="59">
        <f ca="1">AVERAGE(OFFSET($CC$3,0,0,'Données projet'!$E$12+1,1))-AVERAGE(OFFSET($H$3,0,0,'Données projet'!$E$12+1,1))</f>
        <v>281.84871057356037</v>
      </c>
      <c r="CE53" s="59">
        <f t="shared" si="40"/>
        <v>276.02211904126887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17</v>
      </c>
      <c r="CH53" s="16">
        <f>IF(ISNA(VLOOKUP(A53,'Données projet'!$A$113:$I$133,5,0)),0%,VLOOKUP(A53,'Données projet'!$A$113:$I$133,5,0)*VLOOKUP('Données projet'!$B$12,Paramètres!$A$1:$I$89,7,0))</f>
        <v>0.43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37.102335487449636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37.102335487449636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261</v>
      </c>
      <c r="CR53" s="12">
        <f>VLOOKUP(A53,'Données projet'!$A$139:$I$159,9,0)</f>
        <v>8.6</v>
      </c>
      <c r="CS53" s="12">
        <f t="array" ref="CS53">INDEX(CR:CR,MIN(IF(ISNUMBER(CR53:CR249),ROW(CR53:CR249),"")))</f>
        <v>8.6</v>
      </c>
      <c r="CT53" s="12">
        <f>IF('Données projet'!$A$140&gt;35,CT52+CS53-DB52,IF(A53&lt;'Données projet'!$A$140,$CQ$205^A53,IF(A53='Données projet'!$A$140,'Données projet'!$B$140,CT52+CS53-DB52)))</f>
        <v>261.00000000000006</v>
      </c>
      <c r="CU53" s="17">
        <f>CT53*VLOOKUP('Données projet'!$B$13,Paramètres!$A$1:$I$89,3,0)*VLOOKUP('Données projet'!$B$13,Paramètres!$A$1:$I$89,5,0)</f>
        <v>207.65160000000006</v>
      </c>
      <c r="CV53" s="13">
        <f t="shared" si="41"/>
        <v>51.422065813018108</v>
      </c>
      <c r="CW53" s="20">
        <f t="shared" si="13"/>
        <v>451.2199679576733</v>
      </c>
      <c r="CX53" s="59">
        <f t="shared" si="14"/>
        <v>744.55330129100662</v>
      </c>
      <c r="CY53" s="59">
        <f ca="1">AVERAGE(OFFSET($CX$3,0,0,'Données projet'!$E$13+1,1))-AVERAGE(OFFSET($H$3,0,0,'Données projet'!$E$13+1,1))</f>
        <v>279.49721661620544</v>
      </c>
      <c r="CZ53" s="59">
        <f t="shared" si="42"/>
        <v>275.18739333988754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19</v>
      </c>
      <c r="DC53" s="16">
        <f>IF(ISNA(VLOOKUP(A53,'Données projet'!$A$139:$I$159,5,0)),0%,VLOOKUP(A53,'Données projet'!$A$139:$I$159,5,0)*VLOOKUP('Données projet'!$B$13,Paramètres!$A$1:$I$89,7,0))</f>
        <v>0.53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44.495071759736859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44.495071759736859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178</v>
      </c>
      <c r="DM53" s="12">
        <f>VLOOKUP(A53,'Données projet'!$A$165:$I$185,9,0)</f>
        <v>8.1999999999999993</v>
      </c>
      <c r="DN53" s="12">
        <f t="array" ref="DN53">INDEX(DM:DM,MIN(IF(ISNUMBER(DM53:DM249),ROW(DM53:DM249),"")))</f>
        <v>8.1999999999999993</v>
      </c>
      <c r="DO53" s="12">
        <f>IF('Données projet'!$A$166&gt;35,DO52+DN53-DW52,IF(A53&lt;'Données projet'!$A$166,$DL$205^A53,IF(A53='Données projet'!$A$166,'Données projet'!$B$166,DO52+DN53-DW52)))</f>
        <v>178</v>
      </c>
      <c r="DP53" s="17">
        <f>DO53*VLOOKUP('Données projet'!$B$14,Paramètres!$A$1:$I$89,3,0)*VLOOKUP('Données projet'!$B$14,Paramètres!$A$1:$I$89,5,0)</f>
        <v>180.49200000000002</v>
      </c>
      <c r="DQ53" s="13">
        <f t="shared" si="43"/>
        <v>45.431629706642653</v>
      </c>
      <c r="DR53" s="20">
        <f t="shared" si="16"/>
        <v>393.4836550724026</v>
      </c>
      <c r="DS53" s="59">
        <f t="shared" si="17"/>
        <v>686.81698840573586</v>
      </c>
      <c r="DT53" s="59">
        <f ca="1">AVERAGE(OFFSET($DS$3,0,0,'Données projet'!$E$14+1,1))-AVERAGE(OFFSET($H$3,0,0,'Données projet'!$E$14+1,1))</f>
        <v>308.80022073574963</v>
      </c>
      <c r="DU53" s="59">
        <f t="shared" si="44"/>
        <v>183.96267407004115</v>
      </c>
      <c r="DV53" s="15">
        <f>IF(ISNA(VLOOKUP(A53,'Données projet'!$A$165:$I$185,3,0)),0,VLOOKUP(A53,'Données projet'!$A$165:$I$185,3,0))</f>
        <v>6</v>
      </c>
      <c r="DW53" s="15">
        <f>IF(ISNA(VLOOKUP(A53,'Données projet'!$A$165:$I$185,4,0)),0,VLOOKUP(A53,'Données projet'!$A$165:$I$185,4,0))</f>
        <v>21</v>
      </c>
      <c r="DX53" s="16">
        <f>IF(ISNA(VLOOKUP(A53,'Données projet'!$A$165:$I$185,5,0)),0%,VLOOKUP(A53,'Données projet'!$A$165:$I$185,5,0)*VLOOKUP('Données projet'!$B$14,Paramètres!$A$1:$I$89,7,0))</f>
        <v>0.43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35.11431064909813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35.11431064909813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219</v>
      </c>
      <c r="EH53" s="12">
        <f>VLOOKUP(A53,'Données projet'!$A$191:$I$211,9,0)</f>
        <v>7.2</v>
      </c>
      <c r="EI53" s="12">
        <f t="array" ref="EI53">INDEX(EH:EH,MIN(IF(ISNUMBER(EH53:EH249),ROW(EH53:EH249),"")))</f>
        <v>7.2</v>
      </c>
      <c r="EJ53" s="12">
        <f>IF('Données projet'!$A$192&gt;35,EJ52+EI53-ER52,IF(A53&lt;'Données projet'!$A$192,$EG$205^A53,IF(A53='Données projet'!$A$192,'Données projet'!$B$192,EJ52+EI53-ER52)))</f>
        <v>218.99999999999989</v>
      </c>
      <c r="EK53" s="17">
        <f>EJ53*VLOOKUP('Données projet'!$B$15,Paramètres!$A$1:$I$89,3,0)*VLOOKUP('Données projet'!$B$15,Paramètres!$A$1:$I$89,5,0)</f>
        <v>143.48879999999991</v>
      </c>
      <c r="EL53" s="13">
        <f t="shared" si="45"/>
        <v>37.095092027878849</v>
      </c>
      <c r="EM53" s="20">
        <f t="shared" si="19"/>
        <v>314.51694528188881</v>
      </c>
      <c r="EN53" s="59">
        <f t="shared" si="20"/>
        <v>607.85027861522212</v>
      </c>
      <c r="EO53" s="59">
        <f ca="1">AVERAGE(OFFSET($EN$3,0,0,'Données projet'!$E$15+1,1))-AVERAGE(OFFSET($H$3,0,0,'Données projet'!$E$15+1,1))</f>
        <v>178.71569711875242</v>
      </c>
      <c r="EP53" s="59">
        <f t="shared" si="46"/>
        <v>178.13848582064168</v>
      </c>
      <c r="EQ53" s="15">
        <f>IF(ISNA(VLOOKUP(A53,'Données projet'!$A$191:$I$211,3,0)),0,VLOOKUP(A53,'Données projet'!$A$191:$I$211,3,0))</f>
        <v>8</v>
      </c>
      <c r="ER53" s="15">
        <f>IF(ISNA(VLOOKUP(A53,'Données projet'!$A$191:$I$211,4,0)),0,VLOOKUP(A53,'Données projet'!$A$191:$I$211,4,0))</f>
        <v>17</v>
      </c>
      <c r="ES53" s="16">
        <f>IF(ISNA(VLOOKUP(A53,'Données projet'!$A$191:$I$211,5,0)),0%,VLOOKUP(A53,'Données projet'!$A$191:$I$211,5,0)*VLOOKUP('Données projet'!$B$15,Paramètres!$A$1:$I$89,7,0))</f>
        <v>0.43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25.133840168917498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25.133840168917498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178</v>
      </c>
      <c r="FC53" s="12">
        <f>VLOOKUP(A53,'Données projet'!$A$217:$I$237,9,0)</f>
        <v>8.1999999999999993</v>
      </c>
      <c r="FD53" s="12">
        <f t="array" ref="FD53">INDEX(FC:FC,MIN(IF(ISNUMBER(FC53:FC249),ROW(FC53:FC249),"")))</f>
        <v>8.1999999999999993</v>
      </c>
      <c r="FE53" s="12">
        <f>IF('Données projet'!$A$218&gt;35,FE52+FD53-FM52,IF(A53&lt;'Données projet'!$A$218,$FB$205^A53,IF(A53='Données projet'!$A$218,'Données projet'!$B$218,FE52+FD53-FM52)))</f>
        <v>178</v>
      </c>
      <c r="FF53" s="17">
        <f>FE53*VLOOKUP('Données projet'!$B$16,Paramètres!$A$1:$I$89,3,0)*VLOOKUP('Données projet'!$B$16,Paramètres!$A$1:$I$89,5,0)</f>
        <v>149.94720000000001</v>
      </c>
      <c r="FG53" s="13">
        <f t="shared" si="47"/>
        <v>38.566586385539779</v>
      </c>
      <c r="FH53" s="20">
        <f t="shared" si="22"/>
        <v>328.32817795481515</v>
      </c>
      <c r="FI53" s="59">
        <f t="shared" si="23"/>
        <v>621.6615112881484</v>
      </c>
      <c r="FJ53" s="59">
        <f ca="1">AVERAGE(OFFSET($FI$3,0,0,'Données projet'!$E$16+1,1))-AVERAGE(OFFSET($H$3,0,0,'Données projet'!$E$16+1,1))</f>
        <v>247.22536892257716</v>
      </c>
      <c r="FK53" s="59">
        <f t="shared" si="48"/>
        <v>147.97952262756075</v>
      </c>
      <c r="FL53" s="15">
        <f>IF(ISNA(VLOOKUP(A53,'Données projet'!$A$217:$I$237,3,0)),0,VLOOKUP(A53,'Données projet'!$A$217:$I$237,3,0))</f>
        <v>6</v>
      </c>
      <c r="FM53" s="15">
        <f>IF(ISNA(VLOOKUP(A53,'Données projet'!$A$217:$I$237,4,0)),0,VLOOKUP(A53,'Données projet'!$A$217:$I$237,4,0))</f>
        <v>21</v>
      </c>
      <c r="FN53" s="16">
        <f>IF(ISNA(VLOOKUP(A53,'Données projet'!$A$217:$I$237,5,0)),0%,VLOOKUP(A53,'Données projet'!$A$217:$I$237,5,0)*VLOOKUP('Données projet'!$B$16,Paramètres!$A$1:$I$89,7,0))</f>
        <v>0.43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29.171888846943055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29.171888846943055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6">
        <f t="shared" si="1"/>
        <v>349.62471090256616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7.8</v>
      </c>
      <c r="N54" s="13">
        <f>IF('Données projet'!$A$36&gt;35,N53+M54-V53,IF(A54&lt;'Données projet'!$A$36,$K$205^A54,IF(A54='Données projet'!$A$36,'Données projet'!$B$36,N53+M54-V53)))</f>
        <v>205.80000000000015</v>
      </c>
      <c r="O54" s="13">
        <f>N54*VLOOKUP('Données projet'!$B$9,Paramètres!$A$1:$I$89,3,0)*VLOOKUP('Données projet'!$B$9,Paramètres!$A$1:$I$89,5,0)</f>
        <v>179.78688000000014</v>
      </c>
      <c r="P54" s="13">
        <f t="shared" si="33"/>
        <v>45.274767624296977</v>
      </c>
      <c r="Q54" s="20">
        <f t="shared" si="53"/>
        <v>391.98236961231743</v>
      </c>
      <c r="R54" s="59">
        <f t="shared" si="0"/>
        <v>685.31570294565074</v>
      </c>
      <c r="S54" s="59">
        <f ca="1">AVERAGE(OFFSET($R$3,0,0,'Données projet'!$E$9+1,1))-AVERAGE(OFFSET($H$3,0,0,'Données projet'!$E$9+1,1))</f>
        <v>253.73326067725128</v>
      </c>
      <c r="T54" s="59">
        <f t="shared" si="34"/>
        <v>317.76427047458026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52.439687252365331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52.439687252365331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21.6</v>
      </c>
      <c r="AI54" s="13">
        <f>IF('Données projet'!$A$62&gt;35,AI53+AH54-AQ53,IF(A54&lt;'Données projet'!$A$62,$AF$205^A54,IF(A54='Données projet'!$A$62,'Données projet'!$B$62,AI53+AH54-AQ53)))</f>
        <v>503.59999999999991</v>
      </c>
      <c r="AJ54" s="13">
        <f>AI54*VLOOKUP('Données projet'!$B$10,Paramètres!$A$1:$I$89,3,0)*VLOOKUP('Données projet'!$B$10,Paramètres!$A$1:$I$89,5,0)</f>
        <v>242.23159999999996</v>
      </c>
      <c r="AK54" s="13">
        <f t="shared" si="35"/>
        <v>58.919411154104885</v>
      </c>
      <c r="AL54" s="20">
        <f t="shared" si="4"/>
        <v>524.50467776006587</v>
      </c>
      <c r="AM54" s="59">
        <f t="shared" si="5"/>
        <v>817.83801109339925</v>
      </c>
      <c r="AN54" s="59">
        <f ca="1">AVERAGE(OFFSET($AM$3,0,0,'Données projet'!$E$10+1,1))-AVERAGE(OFFSET($H$3,0,0,'Données projet'!$E$10+1,1))</f>
        <v>349.65790906807746</v>
      </c>
      <c r="AO54" s="59">
        <f t="shared" si="36"/>
        <v>291.88925884278888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75.194685279057879</v>
      </c>
      <c r="AV54" s="21">
        <f>EXP(-LN(2)/25)*AV53+(1-EXP(-LN(2)/25))/(LN(2)/25)*Calculateur!AQ54*Calculateur!AS54*VLOOKUP('Données projet'!$B$10,Paramètres!$A$1:$I$89,3,0)*0.475*44/12</f>
        <v>23.012699658202127</v>
      </c>
      <c r="AW54" s="21">
        <f>EXP(-LN(2)/2)*AW53+(1-EXP(-LN(2)/2))/(LN(2)/2)*AQ54*AT54*VLOOKUP('Données projet'!$B$10,Paramètres!$A$1:$I$89,3,0)*0.475*44/12</f>
        <v>3.5256316603634595E-5</v>
      </c>
      <c r="AX54" s="21">
        <f t="shared" si="6"/>
        <v>98.20742019357661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7.4</v>
      </c>
      <c r="BD54" s="12">
        <f>IF('Données projet'!$A$88&gt;35,BD53+BC54-BL53,IF(A54&lt;'Données projet'!$A$88,$BA$205^A54,IF(A54='Données projet'!$A$88,'Données projet'!$B$88,BD53+BC54-BL53)))</f>
        <v>249.40000000000003</v>
      </c>
      <c r="BE54" s="13">
        <f>BD54*VLOOKUP('Données projet'!$B$11,Paramètres!$A$1:$I$89,3,0)*VLOOKUP('Données projet'!$B$11,Paramètres!$A$1:$I$89,5,0)</f>
        <v>198.42264000000003</v>
      </c>
      <c r="BF54" s="13">
        <f t="shared" si="37"/>
        <v>49.397352151183256</v>
      </c>
      <c r="BG54" s="20">
        <f t="shared" si="7"/>
        <v>431.61981966331086</v>
      </c>
      <c r="BH54" s="59">
        <f t="shared" si="8"/>
        <v>724.95315299664412</v>
      </c>
      <c r="BI54" s="59">
        <f ca="1">AVERAGE(OFFSET($BH$3,0,0,'Données projet'!$E$11+1,1))-AVERAGE(OFFSET($H$3,0,0,'Données projet'!$E$11+1,1))</f>
        <v>279.49721661620544</v>
      </c>
      <c r="BJ54" s="59">
        <f t="shared" si="38"/>
        <v>275.18739333988754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43.622550541842408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43.622550541842408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</v>
      </c>
      <c r="BY54" s="12">
        <f>IF('Données projet'!$A$114&gt;35,BY53+BX54-CG53,IF(A54&lt;'Données projet'!$A$114,$BV$205^A54,IF(A54='Données projet'!$A$114,'Données projet'!$B$114,BY53+BX54-CG53)))</f>
        <v>207.99999999999989</v>
      </c>
      <c r="BZ54" s="13">
        <f>BY54*VLOOKUP('Données projet'!$B$12,Paramètres!$A$1:$I$89,3,0)*VLOOKUP('Données projet'!$B$12,Paramètres!$A$1:$I$89,5,0)</f>
        <v>201.1775999999999</v>
      </c>
      <c r="CA54" s="13">
        <f t="shared" si="39"/>
        <v>50.002880070410683</v>
      </c>
      <c r="CB54" s="20">
        <f t="shared" si="10"/>
        <v>437.4726694559651</v>
      </c>
      <c r="CC54" s="59">
        <f t="shared" si="11"/>
        <v>730.80600278929842</v>
      </c>
      <c r="CD54" s="59">
        <f ca="1">AVERAGE(OFFSET($CC$3,0,0,'Données projet'!$E$12+1,1))-AVERAGE(OFFSET($H$3,0,0,'Données projet'!$E$12+1,1))</f>
        <v>281.84871057356037</v>
      </c>
      <c r="CE54" s="59">
        <f t="shared" si="40"/>
        <v>276.02211904126887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36.374781318730854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36.374781318730854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7.4</v>
      </c>
      <c r="CT54" s="12">
        <f>IF('Données projet'!$A$140&gt;35,CT53+CS54-DB53,IF(A54&lt;'Données projet'!$A$140,$CQ$205^A54,IF(A54='Données projet'!$A$140,'Données projet'!$B$140,CT53+CS54-DB53)))</f>
        <v>249.40000000000003</v>
      </c>
      <c r="CU54" s="17">
        <f>CT54*VLOOKUP('Données projet'!$B$13,Paramètres!$A$1:$I$89,3,0)*VLOOKUP('Données projet'!$B$13,Paramètres!$A$1:$I$89,5,0)</f>
        <v>198.42264000000003</v>
      </c>
      <c r="CV54" s="13">
        <f t="shared" si="41"/>
        <v>49.397352151183256</v>
      </c>
      <c r="CW54" s="20">
        <f t="shared" si="13"/>
        <v>431.61981966331086</v>
      </c>
      <c r="CX54" s="59">
        <f t="shared" si="14"/>
        <v>724.95315299664412</v>
      </c>
      <c r="CY54" s="59">
        <f ca="1">AVERAGE(OFFSET($CX$3,0,0,'Données projet'!$E$13+1,1))-AVERAGE(OFFSET($H$3,0,0,'Données projet'!$E$13+1,1))</f>
        <v>279.49721661620544</v>
      </c>
      <c r="CZ54" s="59">
        <f t="shared" si="42"/>
        <v>275.18739333988754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43.622550541842408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43.622550541842408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8</v>
      </c>
      <c r="DO54" s="12">
        <f>IF('Données projet'!$A$166&gt;35,DO53+DN54-DW53,IF(A54&lt;'Données projet'!$A$166,$DL$205^A54,IF(A54='Données projet'!$A$166,'Données projet'!$B$166,DO53+DN54-DW53)))</f>
        <v>165</v>
      </c>
      <c r="DP54" s="17">
        <f>DO54*VLOOKUP('Données projet'!$B$14,Paramètres!$A$1:$I$89,3,0)*VLOOKUP('Données projet'!$B$14,Paramètres!$A$1:$I$89,5,0)</f>
        <v>167.31</v>
      </c>
      <c r="DQ54" s="13">
        <f t="shared" si="43"/>
        <v>42.486994942347515</v>
      </c>
      <c r="DR54" s="20">
        <f t="shared" si="16"/>
        <v>365.39643285792187</v>
      </c>
      <c r="DS54" s="59">
        <f t="shared" si="17"/>
        <v>658.72976619125518</v>
      </c>
      <c r="DT54" s="59">
        <f ca="1">AVERAGE(OFFSET($DS$3,0,0,'Données projet'!$E$14+1,1))-AVERAGE(OFFSET($H$3,0,0,'Données projet'!$E$14+1,1))</f>
        <v>308.80022073574963</v>
      </c>
      <c r="DU54" s="59">
        <f t="shared" si="44"/>
        <v>183.96267407004115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34.425740434883998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34.425740434883998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6</v>
      </c>
      <c r="EJ54" s="12">
        <f>IF('Données projet'!$A$192&gt;35,EJ53+EI54-ER53,IF(A54&lt;'Données projet'!$A$192,$EG$205^A54,IF(A54='Données projet'!$A$192,'Données projet'!$B$192,EJ53+EI54-ER53)))</f>
        <v>207.99999999999989</v>
      </c>
      <c r="EK54" s="17">
        <f>EJ54*VLOOKUP('Données projet'!$B$15,Paramètres!$A$1:$I$89,3,0)*VLOOKUP('Données projet'!$B$15,Paramètres!$A$1:$I$89,5,0)</f>
        <v>136.28159999999991</v>
      </c>
      <c r="EL54" s="13">
        <f t="shared" si="45"/>
        <v>35.443842312892279</v>
      </c>
      <c r="EM54" s="20">
        <f t="shared" si="19"/>
        <v>299.08847869495389</v>
      </c>
      <c r="EN54" s="59">
        <f t="shared" si="20"/>
        <v>592.42181202828715</v>
      </c>
      <c r="EO54" s="59">
        <f ca="1">AVERAGE(OFFSET($EN$3,0,0,'Données projet'!$E$15+1,1))-AVERAGE(OFFSET($H$3,0,0,'Données projet'!$E$15+1,1))</f>
        <v>178.71569711875242</v>
      </c>
      <c r="EP54" s="59">
        <f t="shared" si="46"/>
        <v>178.13848582064168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24.640980893333804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24.640980893333804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8</v>
      </c>
      <c r="FE54" s="12">
        <f>IF('Données projet'!$A$218&gt;35,FE53+FD54-FM53,IF(A54&lt;'Données projet'!$A$218,$FB$205^A54,IF(A54='Données projet'!$A$218,'Données projet'!$B$218,FE53+FD54-FM53)))</f>
        <v>165</v>
      </c>
      <c r="FF54" s="17">
        <f>FE54*VLOOKUP('Données projet'!$B$16,Paramètres!$A$1:$I$89,3,0)*VLOOKUP('Données projet'!$B$16,Paramètres!$A$1:$I$89,5,0)</f>
        <v>138.99600000000001</v>
      </c>
      <c r="FG54" s="13">
        <f t="shared" si="47"/>
        <v>36.066906938767758</v>
      </c>
      <c r="FH54" s="20">
        <f t="shared" si="22"/>
        <v>304.90122958502047</v>
      </c>
      <c r="FI54" s="59">
        <f t="shared" si="23"/>
        <v>598.23456291835373</v>
      </c>
      <c r="FJ54" s="59">
        <f ca="1">AVERAGE(OFFSET($FI$3,0,0,'Données projet'!$E$16+1,1))-AVERAGE(OFFSET($H$3,0,0,'Données projet'!$E$16+1,1))</f>
        <v>247.22536892257716</v>
      </c>
      <c r="FK54" s="59">
        <f t="shared" si="48"/>
        <v>147.97952262756075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28.599845899749777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28.599845899749777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6">
        <f t="shared" si="1"/>
        <v>350.69723344960619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7.8</v>
      </c>
      <c r="N55" s="13">
        <f>IF('Données projet'!$A$36&gt;35,N54+M55-V54,IF(A55&lt;'Données projet'!$A$36,$K$205^A55,IF(A55='Données projet'!$A$36,'Données projet'!$B$36,N54+M55-V54)))</f>
        <v>213.60000000000016</v>
      </c>
      <c r="O55" s="13">
        <f>N55*VLOOKUP('Données projet'!$B$9,Paramètres!$A$1:$I$89,3,0)*VLOOKUP('Données projet'!$B$9,Paramètres!$A$1:$I$89,5,0)</f>
        <v>186.60096000000016</v>
      </c>
      <c r="P55" s="13">
        <f t="shared" si="33"/>
        <v>46.787685683664144</v>
      </c>
      <c r="Q55" s="20">
        <f t="shared" si="53"/>
        <v>406.48522456571527</v>
      </c>
      <c r="R55" s="59">
        <f t="shared" si="0"/>
        <v>699.81855789904853</v>
      </c>
      <c r="S55" s="59">
        <f ca="1">AVERAGE(OFFSET($R$3,0,0,'Données projet'!$E$9+1,1))-AVERAGE(OFFSET($H$3,0,0,'Données projet'!$E$9+1,1))</f>
        <v>253.73326067725128</v>
      </c>
      <c r="T55" s="59">
        <f t="shared" si="34"/>
        <v>317.76427047458026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51.411376970397413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51.411376970397413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21.6</v>
      </c>
      <c r="AI55" s="13">
        <f>IF('Données projet'!$A$62&gt;35,AI54+AH55-AQ54,IF(A55&lt;'Données projet'!$A$62,$AF$205^A55,IF(A55='Données projet'!$A$62,'Données projet'!$B$62,AI54+AH55-AQ54)))</f>
        <v>525.19999999999993</v>
      </c>
      <c r="AJ55" s="13">
        <f>AI55*VLOOKUP('Données projet'!$B$10,Paramètres!$A$1:$I$89,3,0)*VLOOKUP('Données projet'!$B$10,Paramètres!$A$1:$I$89,5,0)</f>
        <v>252.62119999999999</v>
      </c>
      <c r="AK55" s="13">
        <f t="shared" si="35"/>
        <v>61.146890202488045</v>
      </c>
      <c r="AL55" s="20">
        <f t="shared" si="4"/>
        <v>546.47942376933327</v>
      </c>
      <c r="AM55" s="59">
        <f t="shared" si="5"/>
        <v>839.81275710266664</v>
      </c>
      <c r="AN55" s="59">
        <f ca="1">AVERAGE(OFFSET($AM$3,0,0,'Données projet'!$E$10+1,1))-AVERAGE(OFFSET($H$3,0,0,'Données projet'!$E$10+1,1))</f>
        <v>349.65790906807746</v>
      </c>
      <c r="AO55" s="59">
        <f t="shared" si="36"/>
        <v>291.88925884278888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73.720163364964861</v>
      </c>
      <c r="AV55" s="21">
        <f>EXP(-LN(2)/25)*AV54+(1-EXP(-LN(2)/25))/(LN(2)/25)*Calculateur!AQ55*Calculateur!AS55*VLOOKUP('Données projet'!$B$10,Paramètres!$A$1:$I$89,3,0)*0.475*44/12</f>
        <v>22.38341617586331</v>
      </c>
      <c r="AW55" s="21">
        <f>EXP(-LN(2)/2)*AW54+(1-EXP(-LN(2)/2))/(LN(2)/2)*AQ55*AT55*VLOOKUP('Données projet'!$B$10,Paramètres!$A$1:$I$89,3,0)*0.475*44/12</f>
        <v>2.492998055008989E-5</v>
      </c>
      <c r="AX55" s="21">
        <f t="shared" si="6"/>
        <v>96.103604470808733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7.4</v>
      </c>
      <c r="BD55" s="12">
        <f>IF('Données projet'!$A$88&gt;35,BD54+BC55-BL54,IF(A55&lt;'Données projet'!$A$88,$BA$205^A55,IF(A55='Données projet'!$A$88,'Données projet'!$B$88,BD54+BC55-BL54)))</f>
        <v>256.8</v>
      </c>
      <c r="BE55" s="13">
        <f>BD55*VLOOKUP('Données projet'!$B$11,Paramètres!$A$1:$I$89,3,0)*VLOOKUP('Données projet'!$B$11,Paramètres!$A$1:$I$89,5,0)</f>
        <v>204.31008000000003</v>
      </c>
      <c r="BF55" s="13">
        <f t="shared" si="37"/>
        <v>50.690214235398379</v>
      </c>
      <c r="BG55" s="20">
        <f t="shared" si="7"/>
        <v>444.12551245998549</v>
      </c>
      <c r="BH55" s="59">
        <f t="shared" si="8"/>
        <v>737.4588457933188</v>
      </c>
      <c r="BI55" s="59">
        <f ca="1">AVERAGE(OFFSET($BH$3,0,0,'Données projet'!$E$11+1,1))-AVERAGE(OFFSET($H$3,0,0,'Données projet'!$E$11+1,1))</f>
        <v>279.49721661620544</v>
      </c>
      <c r="BJ55" s="59">
        <f t="shared" si="38"/>
        <v>275.18739333988754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42.767138932845469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42.767138932845469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</v>
      </c>
      <c r="BY55" s="12">
        <f>IF('Données projet'!$A$114&gt;35,BY54+BX55-CG54,IF(A55&lt;'Données projet'!$A$114,$BV$205^A55,IF(A55='Données projet'!$A$114,'Données projet'!$B$114,BY54+BX55-CG54)))</f>
        <v>213.99999999999989</v>
      </c>
      <c r="BZ55" s="13">
        <f>BY55*VLOOKUP('Données projet'!$B$12,Paramètres!$A$1:$I$89,3,0)*VLOOKUP('Données projet'!$B$12,Paramètres!$A$1:$I$89,5,0)</f>
        <v>206.98079999999987</v>
      </c>
      <c r="CA55" s="13">
        <f t="shared" si="39"/>
        <v>51.275259496675744</v>
      </c>
      <c r="CB55" s="20">
        <f t="shared" si="10"/>
        <v>449.79597029004339</v>
      </c>
      <c r="CC55" s="59">
        <f t="shared" si="11"/>
        <v>743.1293036233767</v>
      </c>
      <c r="CD55" s="59">
        <f ca="1">AVERAGE(OFFSET($CC$3,0,0,'Données projet'!$E$12+1,1))-AVERAGE(OFFSET($H$3,0,0,'Données projet'!$E$12+1,1))</f>
        <v>281.84871057356037</v>
      </c>
      <c r="CE55" s="59">
        <f t="shared" si="40"/>
        <v>276.02211904126887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35.661494043496418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35.661494043496418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7.4</v>
      </c>
      <c r="CT55" s="12">
        <f>IF('Données projet'!$A$140&gt;35,CT54+CS55-DB54,IF(A55&lt;'Données projet'!$A$140,$CQ$205^A55,IF(A55='Données projet'!$A$140,'Données projet'!$B$140,CT54+CS55-DB54)))</f>
        <v>256.8</v>
      </c>
      <c r="CU55" s="17">
        <f>CT55*VLOOKUP('Données projet'!$B$13,Paramètres!$A$1:$I$89,3,0)*VLOOKUP('Données projet'!$B$13,Paramètres!$A$1:$I$89,5,0)</f>
        <v>204.31008000000003</v>
      </c>
      <c r="CV55" s="13">
        <f t="shared" si="41"/>
        <v>50.690214235398379</v>
      </c>
      <c r="CW55" s="20">
        <f t="shared" si="13"/>
        <v>444.12551245998549</v>
      </c>
      <c r="CX55" s="59">
        <f t="shared" si="14"/>
        <v>737.4588457933188</v>
      </c>
      <c r="CY55" s="59">
        <f ca="1">AVERAGE(OFFSET($CX$3,0,0,'Données projet'!$E$13+1,1))-AVERAGE(OFFSET($H$3,0,0,'Données projet'!$E$13+1,1))</f>
        <v>279.49721661620544</v>
      </c>
      <c r="CZ55" s="59">
        <f t="shared" si="42"/>
        <v>275.18739333988754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42.767138932845469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42.767138932845469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8</v>
      </c>
      <c r="DO55" s="12">
        <f>IF('Données projet'!$A$166&gt;35,DO54+DN55-DW54,IF(A55&lt;'Données projet'!$A$166,$DL$205^A55,IF(A55='Données projet'!$A$166,'Données projet'!$B$166,DO54+DN55-DW54)))</f>
        <v>173</v>
      </c>
      <c r="DP55" s="17">
        <f>DO55*VLOOKUP('Données projet'!$B$14,Paramètres!$A$1:$I$89,3,0)*VLOOKUP('Données projet'!$B$14,Paramètres!$A$1:$I$89,5,0)</f>
        <v>175.422</v>
      </c>
      <c r="DQ55" s="13">
        <f t="shared" si="43"/>
        <v>44.302143412304737</v>
      </c>
      <c r="DR55" s="20">
        <f t="shared" si="16"/>
        <v>382.68621644309741</v>
      </c>
      <c r="DS55" s="59">
        <f t="shared" si="17"/>
        <v>676.01954977643072</v>
      </c>
      <c r="DT55" s="59">
        <f ca="1">AVERAGE(OFFSET($DS$3,0,0,'Données projet'!$E$14+1,1))-AVERAGE(OFFSET($H$3,0,0,'Données projet'!$E$14+1,1))</f>
        <v>308.80022073574963</v>
      </c>
      <c r="DU55" s="59">
        <f t="shared" si="44"/>
        <v>183.96267407004115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33.750672662584243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33.750672662584243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6</v>
      </c>
      <c r="EJ55" s="12">
        <f>IF('Données projet'!$A$192&gt;35,EJ54+EI55-ER54,IF(A55&lt;'Données projet'!$A$192,$EG$205^A55,IF(A55='Données projet'!$A$192,'Données projet'!$B$192,EJ54+EI55-ER54)))</f>
        <v>213.99999999999989</v>
      </c>
      <c r="EK55" s="17">
        <f>EJ55*VLOOKUP('Données projet'!$B$15,Paramètres!$A$1:$I$89,3,0)*VLOOKUP('Données projet'!$B$15,Paramètres!$A$1:$I$89,5,0)</f>
        <v>140.21279999999993</v>
      </c>
      <c r="EL55" s="13">
        <f t="shared" si="45"/>
        <v>36.345750676634552</v>
      </c>
      <c r="EM55" s="20">
        <f t="shared" si="19"/>
        <v>307.50614242847166</v>
      </c>
      <c r="EN55" s="59">
        <f t="shared" si="20"/>
        <v>600.83947576180503</v>
      </c>
      <c r="EO55" s="59">
        <f ca="1">AVERAGE(OFFSET($EN$3,0,0,'Données projet'!$E$15+1,1))-AVERAGE(OFFSET($H$3,0,0,'Données projet'!$E$15+1,1))</f>
        <v>178.71569711875242</v>
      </c>
      <c r="EP55" s="59">
        <f t="shared" si="46"/>
        <v>178.13848582064168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24.157786287529831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24.157786287529831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8</v>
      </c>
      <c r="FE55" s="12">
        <f>IF('Données projet'!$A$218&gt;35,FE54+FD55-FM54,IF(A55&lt;'Données projet'!$A$218,$FB$205^A55,IF(A55='Données projet'!$A$218,'Données projet'!$B$218,FE54+FD55-FM54)))</f>
        <v>173</v>
      </c>
      <c r="FF55" s="17">
        <f>FE55*VLOOKUP('Données projet'!$B$16,Paramètres!$A$1:$I$89,3,0)*VLOOKUP('Données projet'!$B$16,Paramètres!$A$1:$I$89,5,0)</f>
        <v>145.73520000000002</v>
      </c>
      <c r="FG55" s="13">
        <f t="shared" si="47"/>
        <v>37.607773527116258</v>
      </c>
      <c r="FH55" s="20">
        <f t="shared" si="22"/>
        <v>319.32234555972747</v>
      </c>
      <c r="FI55" s="59">
        <f t="shared" si="23"/>
        <v>612.65567889306078</v>
      </c>
      <c r="FJ55" s="59">
        <f ca="1">AVERAGE(OFFSET($FI$3,0,0,'Données projet'!$E$16+1,1))-AVERAGE(OFFSET($H$3,0,0,'Données projet'!$E$16+1,1))</f>
        <v>247.22536892257716</v>
      </c>
      <c r="FK55" s="59">
        <f t="shared" si="48"/>
        <v>147.97952262756075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28.039020365839214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28.039020365839214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6">
        <f t="shared" si="1"/>
        <v>351.76923100223922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7.8</v>
      </c>
      <c r="N56" s="13">
        <f>IF('Données projet'!$A$36&gt;35,N55+M56-V55,IF(A56&lt;'Données projet'!$A$36,$K$205^A56,IF(A56='Données projet'!$A$36,'Données projet'!$B$36,N55+M56-V55)))</f>
        <v>221.40000000000018</v>
      </c>
      <c r="O56" s="13">
        <f>N56*VLOOKUP('Données projet'!$B$9,Paramètres!$A$1:$I$89,3,0)*VLOOKUP('Données projet'!$B$9,Paramètres!$A$1:$I$89,5,0)</f>
        <v>193.41504000000018</v>
      </c>
      <c r="P56" s="13">
        <f t="shared" si="33"/>
        <v>48.294185132315114</v>
      </c>
      <c r="Q56" s="20">
        <f t="shared" si="53"/>
        <v>420.97690043878242</v>
      </c>
      <c r="R56" s="59">
        <f t="shared" si="0"/>
        <v>714.31023377211568</v>
      </c>
      <c r="S56" s="59">
        <f ca="1">AVERAGE(OFFSET($R$3,0,0,'Données projet'!$E$9+1,1))-AVERAGE(OFFSET($H$3,0,0,'Données projet'!$E$9+1,1))</f>
        <v>253.73326067725128</v>
      </c>
      <c r="T56" s="59">
        <f t="shared" si="34"/>
        <v>317.76427047458026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50.403231225851542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50.403231225851542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21.6</v>
      </c>
      <c r="AI56" s="13">
        <f>IF('Données projet'!$A$62&gt;35,AI55+AH56-AQ55,IF(A56&lt;'Données projet'!$A$62,$AF$205^A56,IF(A56='Données projet'!$A$62,'Données projet'!$B$62,AI55+AH56-AQ55)))</f>
        <v>546.79999999999995</v>
      </c>
      <c r="AJ56" s="13">
        <f>AI56*VLOOKUP('Données projet'!$B$10,Paramètres!$A$1:$I$89,3,0)*VLOOKUP('Données projet'!$B$10,Paramètres!$A$1:$I$89,5,0)</f>
        <v>263.01079999999996</v>
      </c>
      <c r="AK56" s="13">
        <f t="shared" si="35"/>
        <v>63.363728167471194</v>
      </c>
      <c r="AL56" s="20">
        <f t="shared" si="4"/>
        <v>568.43563655834566</v>
      </c>
      <c r="AM56" s="59">
        <f t="shared" si="5"/>
        <v>861.76896989167903</v>
      </c>
      <c r="AN56" s="59">
        <f ca="1">AVERAGE(OFFSET($AM$3,0,0,'Données projet'!$E$10+1,1))-AVERAGE(OFFSET($H$3,0,0,'Données projet'!$E$10+1,1))</f>
        <v>349.65790906807746</v>
      </c>
      <c r="AO56" s="59">
        <f t="shared" si="36"/>
        <v>291.88925884278888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72.274555926237639</v>
      </c>
      <c r="AV56" s="21">
        <f>EXP(-LN(2)/25)*AV55+(1-EXP(-LN(2)/25))/(LN(2)/25)*Calculateur!AQ56*Calculateur!AS56*VLOOKUP('Données projet'!$B$10,Paramètres!$A$1:$I$89,3,0)*0.475*44/12</f>
        <v>21.77134048344163</v>
      </c>
      <c r="AW56" s="21">
        <f>EXP(-LN(2)/2)*AW55+(1-EXP(-LN(2)/2))/(LN(2)/2)*AQ56*AT56*VLOOKUP('Données projet'!$B$10,Paramètres!$A$1:$I$89,3,0)*0.475*44/12</f>
        <v>1.7628158301817297E-5</v>
      </c>
      <c r="AX56" s="21">
        <f t="shared" si="6"/>
        <v>94.045914037837576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7.4</v>
      </c>
      <c r="BD56" s="12">
        <f>IF('Données projet'!$A$88&gt;35,BD55+BC56-BL55,IF(A56&lt;'Données projet'!$A$88,$BA$205^A56,IF(A56='Données projet'!$A$88,'Données projet'!$B$88,BD55+BC56-BL55)))</f>
        <v>264.2</v>
      </c>
      <c r="BE56" s="13">
        <f>BD56*VLOOKUP('Données projet'!$B$11,Paramètres!$A$1:$I$89,3,0)*VLOOKUP('Données projet'!$B$11,Paramètres!$A$1:$I$89,5,0)</f>
        <v>210.19752</v>
      </c>
      <c r="BF56" s="13">
        <f t="shared" si="37"/>
        <v>51.978746425856599</v>
      </c>
      <c r="BG56" s="20">
        <f t="shared" si="7"/>
        <v>456.62366402503358</v>
      </c>
      <c r="BH56" s="59">
        <f t="shared" si="8"/>
        <v>749.95699735836683</v>
      </c>
      <c r="BI56" s="59">
        <f ca="1">AVERAGE(OFFSET($BH$3,0,0,'Données projet'!$E$11+1,1))-AVERAGE(OFFSET($H$3,0,0,'Données projet'!$E$11+1,1))</f>
        <v>279.49721661620544</v>
      </c>
      <c r="BJ56" s="59">
        <f t="shared" si="38"/>
        <v>275.18739333988754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41.928501423751399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41.928501423751399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</v>
      </c>
      <c r="BY56" s="12">
        <f>IF('Données projet'!$A$114&gt;35,BY55+BX56-CG55,IF(A56&lt;'Données projet'!$A$114,$BV$205^A56,IF(A56='Données projet'!$A$114,'Données projet'!$B$114,BY55+BX56-CG55)))</f>
        <v>219.99999999999989</v>
      </c>
      <c r="BZ56" s="13">
        <f>BY56*VLOOKUP('Données projet'!$B$12,Paramètres!$A$1:$I$89,3,0)*VLOOKUP('Données projet'!$B$12,Paramètres!$A$1:$I$89,5,0)</f>
        <v>212.78399999999988</v>
      </c>
      <c r="CA56" s="13">
        <f t="shared" si="39"/>
        <v>52.543492641808065</v>
      </c>
      <c r="CB56" s="20">
        <f t="shared" si="10"/>
        <v>462.11204968448214</v>
      </c>
      <c r="CC56" s="59">
        <f t="shared" si="11"/>
        <v>755.4453830178154</v>
      </c>
      <c r="CD56" s="59">
        <f ca="1">AVERAGE(OFFSET($CC$3,0,0,'Données projet'!$E$12+1,1))-AVERAGE(OFFSET($H$3,0,0,'Données projet'!$E$12+1,1))</f>
        <v>281.84871057356037</v>
      </c>
      <c r="CE56" s="59">
        <f t="shared" si="40"/>
        <v>276.02211904126887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34.962193896667053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34.962193896667053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7.4</v>
      </c>
      <c r="CT56" s="12">
        <f>IF('Données projet'!$A$140&gt;35,CT55+CS56-DB55,IF(A56&lt;'Données projet'!$A$140,$CQ$205^A56,IF(A56='Données projet'!$A$140,'Données projet'!$B$140,CT55+CS56-DB55)))</f>
        <v>264.2</v>
      </c>
      <c r="CU56" s="17">
        <f>CT56*VLOOKUP('Données projet'!$B$13,Paramètres!$A$1:$I$89,3,0)*VLOOKUP('Données projet'!$B$13,Paramètres!$A$1:$I$89,5,0)</f>
        <v>210.19752</v>
      </c>
      <c r="CV56" s="13">
        <f t="shared" si="41"/>
        <v>51.978746425856599</v>
      </c>
      <c r="CW56" s="20">
        <f t="shared" si="13"/>
        <v>456.62366402503358</v>
      </c>
      <c r="CX56" s="59">
        <f t="shared" si="14"/>
        <v>749.95699735836683</v>
      </c>
      <c r="CY56" s="59">
        <f ca="1">AVERAGE(OFFSET($CX$3,0,0,'Données projet'!$E$13+1,1))-AVERAGE(OFFSET($H$3,0,0,'Données projet'!$E$13+1,1))</f>
        <v>279.49721661620544</v>
      </c>
      <c r="CZ56" s="59">
        <f t="shared" si="42"/>
        <v>275.18739333988754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41.928501423751399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41.928501423751399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8</v>
      </c>
      <c r="DO56" s="12">
        <f>IF('Données projet'!$A$166&gt;35,DO55+DN56-DW55,IF(A56&lt;'Données projet'!$A$166,$DL$205^A56,IF(A56='Données projet'!$A$166,'Données projet'!$B$166,DO55+DN56-DW55)))</f>
        <v>181</v>
      </c>
      <c r="DP56" s="17">
        <f>DO56*VLOOKUP('Données projet'!$B$14,Paramètres!$A$1:$I$89,3,0)*VLOOKUP('Données projet'!$B$14,Paramètres!$A$1:$I$89,5,0)</f>
        <v>183.53400000000002</v>
      </c>
      <c r="DQ56" s="13">
        <f t="shared" si="43"/>
        <v>46.107544136839593</v>
      </c>
      <c r="DR56" s="20">
        <f t="shared" si="16"/>
        <v>399.95902270499568</v>
      </c>
      <c r="DS56" s="59">
        <f t="shared" si="17"/>
        <v>693.29235603832899</v>
      </c>
      <c r="DT56" s="59">
        <f ca="1">AVERAGE(OFFSET($DS$3,0,0,'Données projet'!$E$14+1,1))-AVERAGE(OFFSET($H$3,0,0,'Données projet'!$E$14+1,1))</f>
        <v>308.80022073574963</v>
      </c>
      <c r="DU56" s="59">
        <f t="shared" si="44"/>
        <v>183.96267407004115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33.088842557548602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33.088842557548602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6</v>
      </c>
      <c r="EJ56" s="12">
        <f>IF('Données projet'!$A$192&gt;35,EJ55+EI56-ER55,IF(A56&lt;'Données projet'!$A$192,$EG$205^A56,IF(A56='Données projet'!$A$192,'Données projet'!$B$192,EJ55+EI56-ER55)))</f>
        <v>219.99999999999989</v>
      </c>
      <c r="EK56" s="17">
        <f>EJ56*VLOOKUP('Données projet'!$B$15,Paramètres!$A$1:$I$89,3,0)*VLOOKUP('Données projet'!$B$15,Paramètres!$A$1:$I$89,5,0)</f>
        <v>144.14399999999992</v>
      </c>
      <c r="EL56" s="13">
        <f t="shared" si="45"/>
        <v>37.244720006976216</v>
      </c>
      <c r="EM56" s="20">
        <f t="shared" si="19"/>
        <v>315.91868734548342</v>
      </c>
      <c r="EN56" s="59">
        <f t="shared" si="20"/>
        <v>609.25202067881673</v>
      </c>
      <c r="EO56" s="59">
        <f ca="1">AVERAGE(OFFSET($EN$3,0,0,'Données projet'!$E$15+1,1))-AVERAGE(OFFSET($H$3,0,0,'Données projet'!$E$15+1,1))</f>
        <v>178.71569711875242</v>
      </c>
      <c r="EP56" s="59">
        <f t="shared" si="46"/>
        <v>178.13848582064168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23.684066833226066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23.684066833226066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8</v>
      </c>
      <c r="FE56" s="12">
        <f>IF('Données projet'!$A$218&gt;35,FE55+FD56-FM55,IF(A56&lt;'Données projet'!$A$218,$FB$205^A56,IF(A56='Données projet'!$A$218,'Données projet'!$B$218,FE55+FD56-FM55)))</f>
        <v>181</v>
      </c>
      <c r="FF56" s="17">
        <f>FE56*VLOOKUP('Données projet'!$B$16,Paramètres!$A$1:$I$89,3,0)*VLOOKUP('Données projet'!$B$16,Paramètres!$A$1:$I$89,5,0)</f>
        <v>152.47440000000003</v>
      </c>
      <c r="FG56" s="13">
        <f t="shared" si="47"/>
        <v>39.140365323908171</v>
      </c>
      <c r="FH56" s="20">
        <f t="shared" si="22"/>
        <v>333.72904960580678</v>
      </c>
      <c r="FI56" s="59">
        <f t="shared" si="23"/>
        <v>627.06238293914009</v>
      </c>
      <c r="FJ56" s="59">
        <f ca="1">AVERAGE(OFFSET($FI$3,0,0,'Données projet'!$E$16+1,1))-AVERAGE(OFFSET($H$3,0,0,'Données projet'!$E$16+1,1))</f>
        <v>247.22536892257716</v>
      </c>
      <c r="FK56" s="59">
        <f t="shared" si="48"/>
        <v>147.97952262756075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27.489192278578837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27.489192278578837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6">
        <f t="shared" si="1"/>
        <v>352.84071460821417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7.8</v>
      </c>
      <c r="N57" s="13">
        <f>IF('Données projet'!$A$36&gt;35,N56+M57-V56,IF(A57&lt;'Données projet'!$A$36,$K$205^A57,IF(A57='Données projet'!$A$36,'Données projet'!$B$36,N56+M57-V56)))</f>
        <v>229.20000000000019</v>
      </c>
      <c r="O57" s="13">
        <f>N57*VLOOKUP('Données projet'!$B$9,Paramètres!$A$1:$I$89,3,0)*VLOOKUP('Données projet'!$B$9,Paramètres!$A$1:$I$89,5,0)</f>
        <v>200.22912000000019</v>
      </c>
      <c r="P57" s="13">
        <f t="shared" si="33"/>
        <v>49.794518010766396</v>
      </c>
      <c r="Q57" s="20">
        <f t="shared" si="53"/>
        <v>435.45783620208516</v>
      </c>
      <c r="R57" s="59">
        <f t="shared" si="0"/>
        <v>728.79116953541848</v>
      </c>
      <c r="S57" s="59">
        <f ca="1">AVERAGE(OFFSET($R$3,0,0,'Données projet'!$E$9+1,1))-AVERAGE(OFFSET($H$3,0,0,'Données projet'!$E$9+1,1))</f>
        <v>253.73326067725128</v>
      </c>
      <c r="T57" s="59">
        <f t="shared" si="34"/>
        <v>317.76427047458026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49.414854604448031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49.414854604448031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21.6</v>
      </c>
      <c r="AI57" s="13">
        <f>IF('Données projet'!$A$62&gt;35,AI56+AH57-AQ56,IF(A57&lt;'Données projet'!$A$62,$AF$205^A57,IF(A57='Données projet'!$A$62,'Données projet'!$B$62,AI56+AH57-AQ56)))</f>
        <v>568.4</v>
      </c>
      <c r="AJ57" s="13">
        <f>AI57*VLOOKUP('Données projet'!$B$10,Paramètres!$A$1:$I$89,3,0)*VLOOKUP('Données projet'!$B$10,Paramètres!$A$1:$I$89,5,0)</f>
        <v>273.40039999999999</v>
      </c>
      <c r="AK57" s="13">
        <f t="shared" si="35"/>
        <v>65.570393498809111</v>
      </c>
      <c r="AL57" s="20">
        <f t="shared" si="4"/>
        <v>590.3741320104258</v>
      </c>
      <c r="AM57" s="59">
        <f t="shared" si="5"/>
        <v>883.70746534375917</v>
      </c>
      <c r="AN57" s="59">
        <f ca="1">AVERAGE(OFFSET($AM$3,0,0,'Données projet'!$E$10+1,1))-AVERAGE(OFFSET($H$3,0,0,'Données projet'!$E$10+1,1))</f>
        <v>349.65790906807746</v>
      </c>
      <c r="AO57" s="59">
        <f t="shared" si="36"/>
        <v>291.88925884278888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70.857295967650387</v>
      </c>
      <c r="AV57" s="21">
        <f>EXP(-LN(2)/25)*AV56+(1-EXP(-LN(2)/25))/(LN(2)/25)*Calculateur!AQ57*Calculateur!AS57*VLOOKUP('Données projet'!$B$10,Paramètres!$A$1:$I$89,3,0)*0.475*44/12</f>
        <v>21.176002033016882</v>
      </c>
      <c r="AW57" s="21">
        <f>EXP(-LN(2)/2)*AW56+(1-EXP(-LN(2)/2))/(LN(2)/2)*AQ57*AT57*VLOOKUP('Données projet'!$B$10,Paramètres!$A$1:$I$89,3,0)*0.475*44/12</f>
        <v>1.2464990275044945E-5</v>
      </c>
      <c r="AX57" s="21">
        <f t="shared" si="6"/>
        <v>92.03331046565755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7.4</v>
      </c>
      <c r="BD57" s="12">
        <f>IF('Données projet'!$A$88&gt;35,BD56+BC57-BL56,IF(A57&lt;'Données projet'!$A$88,$BA$205^A57,IF(A57='Données projet'!$A$88,'Données projet'!$B$88,BD56+BC57-BL56)))</f>
        <v>271.59999999999997</v>
      </c>
      <c r="BE57" s="13">
        <f>BD57*VLOOKUP('Données projet'!$B$11,Paramètres!$A$1:$I$89,3,0)*VLOOKUP('Données projet'!$B$11,Paramètres!$A$1:$I$89,5,0)</f>
        <v>216.08496</v>
      </c>
      <c r="BF57" s="13">
        <f t="shared" si="37"/>
        <v>53.26308393083157</v>
      </c>
      <c r="BG57" s="20">
        <f t="shared" si="7"/>
        <v>469.11450984619825</v>
      </c>
      <c r="BH57" s="59">
        <f t="shared" si="8"/>
        <v>762.44784317953156</v>
      </c>
      <c r="BI57" s="59">
        <f ca="1">AVERAGE(OFFSET($BH$3,0,0,'Données projet'!$E$11+1,1))-AVERAGE(OFFSET($H$3,0,0,'Données projet'!$E$11+1,1))</f>
        <v>279.49721661620544</v>
      </c>
      <c r="BJ57" s="59">
        <f t="shared" si="38"/>
        <v>275.18739333988754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41.106309084692292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41.106309084692292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</v>
      </c>
      <c r="BY57" s="12">
        <f>IF('Données projet'!$A$114&gt;35,BY56+BX57-CG56,IF(A57&lt;'Données projet'!$A$114,$BV$205^A57,IF(A57='Données projet'!$A$114,'Données projet'!$B$114,BY56+BX57-CG56)))</f>
        <v>225.99999999999989</v>
      </c>
      <c r="BZ57" s="13">
        <f>BY57*VLOOKUP('Données projet'!$B$12,Paramètres!$A$1:$I$89,3,0)*VLOOKUP('Données projet'!$B$12,Paramètres!$A$1:$I$89,5,0)</f>
        <v>218.58719999999988</v>
      </c>
      <c r="CA57" s="13">
        <f t="shared" si="39"/>
        <v>53.807705580242128</v>
      </c>
      <c r="CB57" s="20">
        <f t="shared" si="10"/>
        <v>474.42112721892153</v>
      </c>
      <c r="CC57" s="59">
        <f t="shared" si="11"/>
        <v>767.75446055225484</v>
      </c>
      <c r="CD57" s="59">
        <f ca="1">AVERAGE(OFFSET($CC$3,0,0,'Données projet'!$E$12+1,1))-AVERAGE(OFFSET($H$3,0,0,'Données projet'!$E$12+1,1))</f>
        <v>281.84871057356037</v>
      </c>
      <c r="CE57" s="59">
        <f t="shared" si="40"/>
        <v>276.02211904126887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34.276606599186039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34.276606599186039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7.4</v>
      </c>
      <c r="CT57" s="12">
        <f>IF('Données projet'!$A$140&gt;35,CT56+CS57-DB56,IF(A57&lt;'Données projet'!$A$140,$CQ$205^A57,IF(A57='Données projet'!$A$140,'Données projet'!$B$140,CT56+CS57-DB56)))</f>
        <v>271.59999999999997</v>
      </c>
      <c r="CU57" s="17">
        <f>CT57*VLOOKUP('Données projet'!$B$13,Paramètres!$A$1:$I$89,3,0)*VLOOKUP('Données projet'!$B$13,Paramètres!$A$1:$I$89,5,0)</f>
        <v>216.08496</v>
      </c>
      <c r="CV57" s="13">
        <f t="shared" si="41"/>
        <v>53.26308393083157</v>
      </c>
      <c r="CW57" s="20">
        <f t="shared" si="13"/>
        <v>469.11450984619825</v>
      </c>
      <c r="CX57" s="59">
        <f t="shared" si="14"/>
        <v>762.44784317953156</v>
      </c>
      <c r="CY57" s="59">
        <f ca="1">AVERAGE(OFFSET($CX$3,0,0,'Données projet'!$E$13+1,1))-AVERAGE(OFFSET($H$3,0,0,'Données projet'!$E$13+1,1))</f>
        <v>279.49721661620544</v>
      </c>
      <c r="CZ57" s="59">
        <f t="shared" si="42"/>
        <v>275.18739333988754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41.106309084692292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41.106309084692292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8</v>
      </c>
      <c r="DO57" s="12">
        <f>IF('Données projet'!$A$166&gt;35,DO56+DN57-DW56,IF(A57&lt;'Données projet'!$A$166,$DL$205^A57,IF(A57='Données projet'!$A$166,'Données projet'!$B$166,DO56+DN57-DW56)))</f>
        <v>189</v>
      </c>
      <c r="DP57" s="17">
        <f>DO57*VLOOKUP('Données projet'!$B$14,Paramètres!$A$1:$I$89,3,0)*VLOOKUP('Données projet'!$B$14,Paramètres!$A$1:$I$89,5,0)</f>
        <v>191.64600000000002</v>
      </c>
      <c r="DQ57" s="13">
        <f t="shared" si="43"/>
        <v>47.903677189291635</v>
      </c>
      <c r="DR57" s="20">
        <f t="shared" si="16"/>
        <v>417.21568777134962</v>
      </c>
      <c r="DS57" s="59">
        <f t="shared" si="17"/>
        <v>710.54902110468288</v>
      </c>
      <c r="DT57" s="59">
        <f ca="1">AVERAGE(OFFSET($DS$3,0,0,'Données projet'!$E$14+1,1))-AVERAGE(OFFSET($H$3,0,0,'Données projet'!$E$14+1,1))</f>
        <v>308.80022073574963</v>
      </c>
      <c r="DU57" s="59">
        <f t="shared" si="44"/>
        <v>183.96267407004115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32.439990537196209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32.439990537196209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6</v>
      </c>
      <c r="EJ57" s="12">
        <f>IF('Données projet'!$A$192&gt;35,EJ56+EI57-ER56,IF(A57&lt;'Données projet'!$A$192,$EG$205^A57,IF(A57='Données projet'!$A$192,'Données projet'!$B$192,EJ56+EI57-ER56)))</f>
        <v>225.99999999999989</v>
      </c>
      <c r="EK57" s="17">
        <f>EJ57*VLOOKUP('Données projet'!$B$15,Paramètres!$A$1:$I$89,3,0)*VLOOKUP('Données projet'!$B$15,Paramètres!$A$1:$I$89,5,0)</f>
        <v>148.07519999999991</v>
      </c>
      <c r="EL57" s="13">
        <f t="shared" si="45"/>
        <v>38.140839670017236</v>
      </c>
      <c r="EM57" s="20">
        <f t="shared" si="19"/>
        <v>324.32626909194659</v>
      </c>
      <c r="EN57" s="59">
        <f t="shared" si="20"/>
        <v>617.6596024252799</v>
      </c>
      <c r="EO57" s="59">
        <f ca="1">AVERAGE(OFFSET($EN$3,0,0,'Données projet'!$E$15+1,1))-AVERAGE(OFFSET($H$3,0,0,'Données projet'!$E$15+1,1))</f>
        <v>178.71569711875242</v>
      </c>
      <c r="EP57" s="59">
        <f t="shared" si="46"/>
        <v>178.13848582064168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23.219636728480861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23.219636728480861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8</v>
      </c>
      <c r="FE57" s="12">
        <f>IF('Données projet'!$A$218&gt;35,FE56+FD57-FM56,IF(A57&lt;'Données projet'!$A$218,$FB$205^A57,IF(A57='Données projet'!$A$218,'Données projet'!$B$218,FE56+FD57-FM56)))</f>
        <v>189</v>
      </c>
      <c r="FF57" s="17">
        <f>FE57*VLOOKUP('Données projet'!$B$16,Paramètres!$A$1:$I$89,3,0)*VLOOKUP('Données projet'!$B$16,Paramètres!$A$1:$I$89,5,0)</f>
        <v>159.21360000000001</v>
      </c>
      <c r="FG57" s="13">
        <f t="shared" si="47"/>
        <v>40.665089859977108</v>
      </c>
      <c r="FH57" s="20">
        <f t="shared" si="22"/>
        <v>348.12205150612681</v>
      </c>
      <c r="FI57" s="59">
        <f t="shared" si="23"/>
        <v>641.45538483946007</v>
      </c>
      <c r="FJ57" s="59">
        <f ca="1">AVERAGE(OFFSET($FI$3,0,0,'Données projet'!$E$16+1,1))-AVERAGE(OFFSET($H$3,0,0,'Données projet'!$E$16+1,1))</f>
        <v>247.22536892257716</v>
      </c>
      <c r="FK57" s="59">
        <f t="shared" si="48"/>
        <v>147.97952262756075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26.950145984747618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26.950145984747618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6">
        <f t="shared" si="1"/>
        <v>353.91169488268253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237</v>
      </c>
      <c r="L58" s="12">
        <f>VLOOKUP(A58,'Données projet'!$A$35:$I$55,9,0)</f>
        <v>7.8</v>
      </c>
      <c r="M58" s="12">
        <f t="array" ref="M58">INDEX(L:L,MIN(IF(ISNUMBER(L58:L254),ROW(L58:L254),"")))</f>
        <v>7.8</v>
      </c>
      <c r="N58" s="13">
        <f>IF('Données projet'!$A$36&gt;35,N57+M58-V57,IF(A58&lt;'Données projet'!$A$36,$K$205^A58,IF(A58='Données projet'!$A$36,'Données projet'!$B$36,N57+M58-V57)))</f>
        <v>237.0000000000002</v>
      </c>
      <c r="O58" s="13">
        <f>N58*VLOOKUP('Données projet'!$B$9,Paramètres!$A$1:$I$89,3,0)*VLOOKUP('Données projet'!$B$9,Paramètres!$A$1:$I$89,5,0)</f>
        <v>207.04320000000018</v>
      </c>
      <c r="P58" s="13">
        <f t="shared" si="33"/>
        <v>51.28891823180637</v>
      </c>
      <c r="Q58" s="20">
        <f t="shared" si="53"/>
        <v>449.92843925372966</v>
      </c>
      <c r="R58" s="59">
        <f t="shared" si="0"/>
        <v>743.26177258706298</v>
      </c>
      <c r="S58" s="59">
        <f ca="1">AVERAGE(OFFSET($R$3,0,0,'Données projet'!$E$9+1,1))-AVERAGE(OFFSET($H$3,0,0,'Données projet'!$E$9+1,1))</f>
        <v>253.73326067725128</v>
      </c>
      <c r="T58" s="59">
        <f t="shared" si="34"/>
        <v>317.76427047458026</v>
      </c>
      <c r="U58" s="15">
        <f>IF(ISNA(VLOOKUP(A58,'Données projet'!$A$35:$I$55,3,0)),0,VLOOKUP(A58,'Données projet'!$A$35:$I$55,3,0))</f>
        <v>9</v>
      </c>
      <c r="V58" s="15">
        <f>IF(ISNA(VLOOKUP(A58,'Données projet'!$A$35:$I$55,4,0)),0,VLOOKUP(A58,'Données projet'!$A$35:$I$55,4,0))</f>
        <v>29</v>
      </c>
      <c r="W58" s="16">
        <f>IF(ISNA(VLOOKUP(A58,'Données projet'!$A$35:$I$55,5,0)),0%,VLOOKUP(A58,'Données projet'!$A$35:$I$55,5,0)*VLOOKUP('Données projet'!$B$9,Paramètres!$A$1:$I$89,7,0))</f>
        <v>0.43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60.488623822533043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60.488623822533043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590</v>
      </c>
      <c r="AG58" s="12">
        <f>VLOOKUP(A58,'Données projet'!$A$61:$I$81,9,0)</f>
        <v>21.6</v>
      </c>
      <c r="AH58" s="12">
        <f t="array" ref="AH58">INDEX(AG:AG,MIN(IF(ISNUMBER(AG58:AG254),ROW(AG58:AG254),"")))</f>
        <v>21.6</v>
      </c>
      <c r="AI58" s="13">
        <f>IF('Données projet'!$A$62&gt;35,AI57+AH58-AQ57,IF(A58&lt;'Données projet'!$A$62,$AF$205^A58,IF(A58='Données projet'!$A$62,'Données projet'!$B$62,AI57+AH58-AQ57)))</f>
        <v>590</v>
      </c>
      <c r="AJ58" s="13">
        <f>AI58*VLOOKUP('Données projet'!$B$10,Paramètres!$A$1:$I$89,3,0)*VLOOKUP('Données projet'!$B$10,Paramètres!$A$1:$I$89,5,0)</f>
        <v>283.79000000000002</v>
      </c>
      <c r="AK58" s="13">
        <f t="shared" si="35"/>
        <v>67.767317026167248</v>
      </c>
      <c r="AL58" s="20">
        <f t="shared" si="4"/>
        <v>612.29566048724121</v>
      </c>
      <c r="AM58" s="59">
        <f t="shared" si="5"/>
        <v>905.62899382057458</v>
      </c>
      <c r="AN58" s="59">
        <f ca="1">AVERAGE(OFFSET($AM$3,0,0,'Données projet'!$E$10+1,1))-AVERAGE(OFFSET($H$3,0,0,'Données projet'!$E$10+1,1))</f>
        <v>349.65790906807746</v>
      </c>
      <c r="AO58" s="59">
        <f t="shared" si="36"/>
        <v>291.88925884278888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63</v>
      </c>
      <c r="AR58" s="16">
        <f>IF(ISNA(VLOOKUP(A58,'Données projet'!$A$61:$I$81,5,0)),0%,VLOOKUP(A58,'Données projet'!$A$61:$I$81,5,0)*VLOOKUP('Données projet'!$B$10,Paramètres!$A$1:$I$89,7,0))</f>
        <v>0.55000000000000004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91.577213093659225</v>
      </c>
      <c r="AV58" s="21">
        <f>EXP(-LN(2)/25)*AV57+(1-EXP(-LN(2)/25))/(LN(2)/25)*Calculateur!AQ58*Calculateur!AS58*VLOOKUP('Données projet'!$B$10,Paramètres!$A$1:$I$89,3,0)*0.475*44/12</f>
        <v>20.596943143826486</v>
      </c>
      <c r="AW58" s="21">
        <f>EXP(-LN(2)/2)*AW57+(1-EXP(-LN(2)/2))/(LN(2)/2)*AQ58*AT58*VLOOKUP('Données projet'!$B$10,Paramètres!$A$1:$I$89,3,0)*0.475*44/12</f>
        <v>8.8140791509086487E-6</v>
      </c>
      <c r="AX58" s="21">
        <f t="shared" si="6"/>
        <v>112.17416505156486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279</v>
      </c>
      <c r="BB58" s="12">
        <f>VLOOKUP(A58,'Données projet'!$A$87:$I$107,9,0)</f>
        <v>7.4</v>
      </c>
      <c r="BC58" s="12">
        <f t="array" ref="BC58">INDEX(BB:BB,MIN(IF(ISNUMBER(BB58:BB254),ROW(BB58:BB254),"")))</f>
        <v>7.4</v>
      </c>
      <c r="BD58" s="12">
        <f>IF('Données projet'!$A$88&gt;35,BD57+BC58-BL57,IF(A58&lt;'Données projet'!$A$88,$BA$205^A58,IF(A58='Données projet'!$A$88,'Données projet'!$B$88,BD57+BC58-BL57)))</f>
        <v>278.99999999999994</v>
      </c>
      <c r="BE58" s="13">
        <f>BD58*VLOOKUP('Données projet'!$B$11,Paramètres!$A$1:$I$89,3,0)*VLOOKUP('Données projet'!$B$11,Paramètres!$A$1:$I$89,5,0)</f>
        <v>221.97239999999996</v>
      </c>
      <c r="BF58" s="13">
        <f t="shared" si="37"/>
        <v>54.543354171476821</v>
      </c>
      <c r="BG58" s="20">
        <f t="shared" si="7"/>
        <v>481.59827184865543</v>
      </c>
      <c r="BH58" s="59">
        <f t="shared" si="8"/>
        <v>774.93160518198874</v>
      </c>
      <c r="BI58" s="59">
        <f ca="1">AVERAGE(OFFSET($BH$3,0,0,'Données projet'!$E$11+1,1))-AVERAGE(OFFSET($H$3,0,0,'Données projet'!$E$11+1,1))</f>
        <v>279.49721661620544</v>
      </c>
      <c r="BJ58" s="59">
        <f t="shared" si="38"/>
        <v>275.18739333988754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16</v>
      </c>
      <c r="BM58" s="16">
        <f>IF(ISNA(VLOOKUP(A58,'Données projet'!$A$87:$I$107,5,0)),0%,VLOOKUP(A58,'Données projet'!$A$87:$I$107,5,0)*VLOOKUP('Données projet'!$B$11,Paramètres!$A$1:$I$89,7,0))</f>
        <v>0.53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47.758503179864732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47.758503179864732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232</v>
      </c>
      <c r="BW58" s="12">
        <f>VLOOKUP(A58,'Données projet'!$A$113:$I$133,9,0)</f>
        <v>6</v>
      </c>
      <c r="BX58" s="12">
        <f t="array" ref="BX58">INDEX(BW:BW,MIN(IF(ISNUMBER(BW58:BW254),ROW(BW58:BW254),"")))</f>
        <v>6</v>
      </c>
      <c r="BY58" s="12">
        <f>IF('Données projet'!$A$114&gt;35,BY57+BX58-CG57,IF(A58&lt;'Données projet'!$A$114,$BV$205^A58,IF(A58='Données projet'!$A$114,'Données projet'!$B$114,BY57+BX58-CG57)))</f>
        <v>231.99999999999989</v>
      </c>
      <c r="BZ58" s="13">
        <f>BY58*VLOOKUP('Données projet'!$B$12,Paramètres!$A$1:$I$89,3,0)*VLOOKUP('Données projet'!$B$12,Paramètres!$A$1:$I$89,5,0)</f>
        <v>224.39039999999989</v>
      </c>
      <c r="CA58" s="13">
        <f t="shared" si="39"/>
        <v>55.068017311015808</v>
      </c>
      <c r="CB58" s="20">
        <f t="shared" si="10"/>
        <v>486.72341015001894</v>
      </c>
      <c r="CC58" s="59">
        <f t="shared" si="11"/>
        <v>780.05674348335219</v>
      </c>
      <c r="CD58" s="59">
        <f ca="1">AVERAGE(OFFSET($CC$3,0,0,'Données projet'!$E$12+1,1))-AVERAGE(OFFSET($H$3,0,0,'Données projet'!$E$12+1,1))</f>
        <v>281.84871057356037</v>
      </c>
      <c r="CE58" s="59">
        <f t="shared" si="40"/>
        <v>276.02211904126887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13</v>
      </c>
      <c r="CH58" s="16">
        <f>IF(ISNA(VLOOKUP(A58,'Données projet'!$A$113:$I$133,5,0)),0%,VLOOKUP(A58,'Données projet'!$A$113:$I$133,5,0)*VLOOKUP('Données projet'!$B$12,Paramètres!$A$1:$I$89,7,0))</f>
        <v>0.43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39.581352467002731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39.581352467002731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279</v>
      </c>
      <c r="CR58" s="12">
        <f>VLOOKUP(A58,'Données projet'!$A$139:$I$159,9,0)</f>
        <v>7.4</v>
      </c>
      <c r="CS58" s="12">
        <f t="array" ref="CS58">INDEX(CR:CR,MIN(IF(ISNUMBER(CR58:CR254),ROW(CR58:CR254),"")))</f>
        <v>7.4</v>
      </c>
      <c r="CT58" s="12">
        <f>IF('Données projet'!$A$140&gt;35,CT57+CS58-DB57,IF(A58&lt;'Données projet'!$A$140,$CQ$205^A58,IF(A58='Données projet'!$A$140,'Données projet'!$B$140,CT57+CS58-DB57)))</f>
        <v>278.99999999999994</v>
      </c>
      <c r="CU58" s="17">
        <f>CT58*VLOOKUP('Données projet'!$B$13,Paramètres!$A$1:$I$89,3,0)*VLOOKUP('Données projet'!$B$13,Paramètres!$A$1:$I$89,5,0)</f>
        <v>221.97239999999996</v>
      </c>
      <c r="CV58" s="13">
        <f t="shared" si="41"/>
        <v>54.543354171476821</v>
      </c>
      <c r="CW58" s="20">
        <f t="shared" si="13"/>
        <v>481.59827184865543</v>
      </c>
      <c r="CX58" s="59">
        <f t="shared" si="14"/>
        <v>774.93160518198874</v>
      </c>
      <c r="CY58" s="59">
        <f ca="1">AVERAGE(OFFSET($CX$3,0,0,'Données projet'!$E$13+1,1))-AVERAGE(OFFSET($H$3,0,0,'Données projet'!$E$13+1,1))</f>
        <v>279.49721661620544</v>
      </c>
      <c r="CZ58" s="59">
        <f t="shared" si="42"/>
        <v>275.18739333988754</v>
      </c>
      <c r="DA58" s="15">
        <f>IF(ISNA(VLOOKUP(A58,'Données projet'!$A$139:$I$159,3,0)),0,VLOOKUP(A58,'Données projet'!$A$139:$I$159,3,0))</f>
        <v>9</v>
      </c>
      <c r="DB58" s="15">
        <f>IF(ISNA(VLOOKUP(A58,'Données projet'!$A$139:$I$159,4,0)),0,VLOOKUP(A58,'Données projet'!$A$139:$I$159,4,0))</f>
        <v>16</v>
      </c>
      <c r="DC58" s="16">
        <f>IF(ISNA(VLOOKUP(A58,'Données projet'!$A$139:$I$159,5,0)),0%,VLOOKUP(A58,'Données projet'!$A$139:$I$159,5,0)*VLOOKUP('Données projet'!$B$13,Paramètres!$A$1:$I$89,7,0))</f>
        <v>0.53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47.758503179864732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47.758503179864732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197</v>
      </c>
      <c r="DM58" s="12">
        <f>VLOOKUP(A58,'Données projet'!$A$165:$I$185,9,0)</f>
        <v>8</v>
      </c>
      <c r="DN58" s="12">
        <f t="array" ref="DN58">INDEX(DM:DM,MIN(IF(ISNUMBER(DM58:DM254),ROW(DM58:DM254),"")))</f>
        <v>8</v>
      </c>
      <c r="DO58" s="12">
        <f>IF('Données projet'!$A$166&gt;35,DO57+DN58-DW57,IF(A58&lt;'Données projet'!$A$166,$DL$205^A58,IF(A58='Données projet'!$A$166,'Données projet'!$B$166,DO57+DN58-DW57)))</f>
        <v>197</v>
      </c>
      <c r="DP58" s="17">
        <f>DO58*VLOOKUP('Données projet'!$B$14,Paramètres!$A$1:$I$89,3,0)*VLOOKUP('Données projet'!$B$14,Paramètres!$A$1:$I$89,5,0)</f>
        <v>199.75800000000004</v>
      </c>
      <c r="DQ58" s="13">
        <f t="shared" si="43"/>
        <v>49.690979702964015</v>
      </c>
      <c r="DR58" s="20">
        <f t="shared" si="16"/>
        <v>434.45697298266236</v>
      </c>
      <c r="DS58" s="59">
        <f t="shared" si="17"/>
        <v>727.79030631599562</v>
      </c>
      <c r="DT58" s="59">
        <f ca="1">AVERAGE(OFFSET($DS$3,0,0,'Données projet'!$E$14+1,1))-AVERAGE(OFFSET($H$3,0,0,'Données projet'!$E$14+1,1))</f>
        <v>308.80022073574963</v>
      </c>
      <c r="DU58" s="59">
        <f t="shared" si="44"/>
        <v>183.96267407004115</v>
      </c>
      <c r="DV58" s="15">
        <f>IF(ISNA(VLOOKUP(A58,'Données projet'!$A$165:$I$185,3,0)),0,VLOOKUP(A58,'Données projet'!$A$165:$I$185,3,0))</f>
        <v>7</v>
      </c>
      <c r="DW58" s="15">
        <f>IF(ISNA(VLOOKUP(A58,'Données projet'!$A$165:$I$185,4,0)),0,VLOOKUP(A58,'Données projet'!$A$165:$I$185,4,0))</f>
        <v>21</v>
      </c>
      <c r="DX58" s="16">
        <f>IF(ISNA(VLOOKUP(A58,'Données projet'!$A$165:$I$185,5,0)),0%,VLOOKUP(A58,'Données projet'!$A$165:$I$185,5,0)*VLOOKUP('Données projet'!$B$14,Paramètres!$A$1:$I$89,7,0))</f>
        <v>0.43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41.926013201765365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41.926013201765365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232</v>
      </c>
      <c r="EH58" s="12">
        <f>VLOOKUP(A58,'Données projet'!$A$191:$I$211,9,0)</f>
        <v>6</v>
      </c>
      <c r="EI58" s="12">
        <f t="array" ref="EI58">INDEX(EH:EH,MIN(IF(ISNUMBER(EH58:EH254),ROW(EH58:EH254),"")))</f>
        <v>6</v>
      </c>
      <c r="EJ58" s="12">
        <f>IF('Données projet'!$A$192&gt;35,EJ57+EI58-ER57,IF(A58&lt;'Données projet'!$A$192,$EG$205^A58,IF(A58='Données projet'!$A$192,'Données projet'!$B$192,EJ57+EI58-ER57)))</f>
        <v>231.99999999999989</v>
      </c>
      <c r="EK58" s="17">
        <f>EJ58*VLOOKUP('Données projet'!$B$15,Paramètres!$A$1:$I$89,3,0)*VLOOKUP('Données projet'!$B$15,Paramètres!$A$1:$I$89,5,0)</f>
        <v>152.00639999999993</v>
      </c>
      <c r="EL58" s="13">
        <f t="shared" si="45"/>
        <v>39.03419401656145</v>
      </c>
      <c r="EM58" s="20">
        <f t="shared" si="19"/>
        <v>332.72903457884439</v>
      </c>
      <c r="EN58" s="59">
        <f t="shared" si="20"/>
        <v>626.06236791217771</v>
      </c>
      <c r="EO58" s="59">
        <f ca="1">AVERAGE(OFFSET($EN$3,0,0,'Données projet'!$E$15+1,1))-AVERAGE(OFFSET($H$3,0,0,'Données projet'!$E$15+1,1))</f>
        <v>178.71569711875242</v>
      </c>
      <c r="EP58" s="59">
        <f t="shared" si="46"/>
        <v>178.13848582064168</v>
      </c>
      <c r="EQ58" s="15">
        <f>IF(ISNA(VLOOKUP(A58,'Données projet'!$A$191:$I$211,3,0)),0,VLOOKUP(A58,'Données projet'!$A$191:$I$211,3,0))</f>
        <v>9</v>
      </c>
      <c r="ER58" s="15">
        <f>IF(ISNA(VLOOKUP(A58,'Données projet'!$A$191:$I$211,4,0)),0,VLOOKUP(A58,'Données projet'!$A$191:$I$211,4,0))</f>
        <v>13</v>
      </c>
      <c r="ES58" s="16">
        <f>IF(ISNA(VLOOKUP(A58,'Données projet'!$A$191:$I$211,5,0)),0%,VLOOKUP(A58,'Données projet'!$A$191:$I$211,5,0)*VLOOKUP('Données projet'!$B$15,Paramètres!$A$1:$I$89,7,0))</f>
        <v>0.43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26.813174251840557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26.813174251840557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197</v>
      </c>
      <c r="FC58" s="12">
        <f>VLOOKUP(A58,'Données projet'!$A$217:$I$237,9,0)</f>
        <v>8</v>
      </c>
      <c r="FD58" s="12">
        <f t="array" ref="FD58">INDEX(FC:FC,MIN(IF(ISNUMBER(FC58:FC254),ROW(FC58:FC254),"")))</f>
        <v>8</v>
      </c>
      <c r="FE58" s="12">
        <f>IF('Données projet'!$A$218&gt;35,FE57+FD58-FM57,IF(A58&lt;'Données projet'!$A$218,$FB$205^A58,IF(A58='Données projet'!$A$218,'Données projet'!$B$218,FE57+FD58-FM57)))</f>
        <v>197</v>
      </c>
      <c r="FF58" s="17">
        <f>FE58*VLOOKUP('Données projet'!$B$16,Paramètres!$A$1:$I$89,3,0)*VLOOKUP('Données projet'!$B$16,Paramètres!$A$1:$I$89,5,0)</f>
        <v>165.95280000000002</v>
      </c>
      <c r="FG58" s="13">
        <f t="shared" si="47"/>
        <v>42.182318214665827</v>
      </c>
      <c r="FH58" s="20">
        <f t="shared" si="22"/>
        <v>362.50199755720968</v>
      </c>
      <c r="FI58" s="59">
        <f t="shared" si="23"/>
        <v>655.83533089054299</v>
      </c>
      <c r="FJ58" s="59">
        <f ca="1">AVERAGE(OFFSET($FI$3,0,0,'Données projet'!$E$16+1,1))-AVERAGE(OFFSET($H$3,0,0,'Données projet'!$E$16+1,1))</f>
        <v>247.22536892257716</v>
      </c>
      <c r="FK58" s="59">
        <f t="shared" si="48"/>
        <v>147.97952262756075</v>
      </c>
      <c r="FL58" s="15">
        <f>IF(ISNA(VLOOKUP(A58,'Données projet'!$A$217:$I$237,3,0)),0,VLOOKUP(A58,'Données projet'!$A$217:$I$237,3,0))</f>
        <v>7</v>
      </c>
      <c r="FM58" s="15">
        <f>IF(ISNA(VLOOKUP(A58,'Données projet'!$A$217:$I$237,4,0)),0,VLOOKUP(A58,'Données projet'!$A$217:$I$237,4,0))</f>
        <v>21</v>
      </c>
      <c r="FN58" s="16">
        <f>IF(ISNA(VLOOKUP(A58,'Données projet'!$A$217:$I$237,5,0)),0%,VLOOKUP(A58,'Données projet'!$A$217:$I$237,5,0)*VLOOKUP('Données projet'!$B$16,Paramètres!$A$1:$I$89,7,0))</f>
        <v>0.43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34.830841736851227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34.830841736851227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6">
        <f t="shared" si="1"/>
        <v>354.98218203268914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6.8</v>
      </c>
      <c r="N59" s="13">
        <f>IF('Données projet'!$A$36&gt;35,N58+M59-V58,IF(A59&lt;'Données projet'!$A$36,$K$205^A59,IF(A59='Données projet'!$A$36,'Données projet'!$B$36,N58+M59-V58)))</f>
        <v>214.80000000000021</v>
      </c>
      <c r="O59" s="13">
        <f>N59*VLOOKUP('Données projet'!$B$9,Paramètres!$A$1:$I$89,3,0)*VLOOKUP('Données projet'!$B$9,Paramètres!$A$1:$I$89,5,0)</f>
        <v>187.6492800000002</v>
      </c>
      <c r="P59" s="13">
        <f t="shared" si="33"/>
        <v>47.019866076567546</v>
      </c>
      <c r="Q59" s="20">
        <f t="shared" si="53"/>
        <v>408.71542941668878</v>
      </c>
      <c r="R59" s="59">
        <f t="shared" si="0"/>
        <v>702.04876275002209</v>
      </c>
      <c r="S59" s="59">
        <f ca="1">AVERAGE(OFFSET($R$3,0,0,'Données projet'!$E$9+1,1))-AVERAGE(OFFSET($H$3,0,0,'Données projet'!$E$9+1,1))</f>
        <v>253.73326067725128</v>
      </c>
      <c r="T59" s="59">
        <f t="shared" si="34"/>
        <v>317.76427047458026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59.302478803790677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59.302478803790677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20.399999999999999</v>
      </c>
      <c r="AI59" s="13">
        <f>IF('Données projet'!$A$62&gt;35,AI58+AH59-AQ58,IF(A59&lt;'Données projet'!$A$62,$AF$205^A59,IF(A59='Données projet'!$A$62,'Données projet'!$B$62,AI58+AH59-AQ58)))</f>
        <v>547.4</v>
      </c>
      <c r="AJ59" s="13">
        <f>AI59*VLOOKUP('Données projet'!$B$10,Paramètres!$A$1:$I$89,3,0)*VLOOKUP('Données projet'!$B$10,Paramètres!$A$1:$I$89,5,0)</f>
        <v>263.29939999999999</v>
      </c>
      <c r="AK59" s="13">
        <f t="shared" si="35"/>
        <v>63.42515971405907</v>
      </c>
      <c r="AL59" s="20">
        <f t="shared" si="4"/>
        <v>569.04527483531945</v>
      </c>
      <c r="AM59" s="59">
        <f t="shared" si="5"/>
        <v>862.37860816865282</v>
      </c>
      <c r="AN59" s="59">
        <f ca="1">AVERAGE(OFFSET($AM$3,0,0,'Données projet'!$E$10+1,1))-AVERAGE(OFFSET($H$3,0,0,'Données projet'!$E$10+1,1))</f>
        <v>349.65790906807746</v>
      </c>
      <c r="AO59" s="59">
        <f t="shared" si="36"/>
        <v>291.88925884278888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89.781439801477177</v>
      </c>
      <c r="AV59" s="21">
        <f>EXP(-LN(2)/25)*AV58+(1-EXP(-LN(2)/25))/(LN(2)/25)*Calculateur!AQ59*Calculateur!AS59*VLOOKUP('Données projet'!$B$10,Paramètres!$A$1:$I$89,3,0)*0.475*44/12</f>
        <v>20.033718650412386</v>
      </c>
      <c r="AW59" s="21">
        <f>EXP(-LN(2)/2)*AW58+(1-EXP(-LN(2)/2))/(LN(2)/2)*AQ59*AT59*VLOOKUP('Données projet'!$B$10,Paramètres!$A$1:$I$89,3,0)*0.475*44/12</f>
        <v>6.2324951375224725E-6</v>
      </c>
      <c r="AX59" s="21">
        <f t="shared" si="6"/>
        <v>109.8151646843847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6.2</v>
      </c>
      <c r="BD59" s="12">
        <f>IF('Données projet'!$A$88&gt;35,BD58+BC59-BL58,IF(A59&lt;'Données projet'!$A$88,$BA$205^A59,IF(A59='Données projet'!$A$88,'Données projet'!$B$88,BD58+BC59-BL58)))</f>
        <v>269.19999999999993</v>
      </c>
      <c r="BE59" s="13">
        <f>BD59*VLOOKUP('Données projet'!$B$11,Paramètres!$A$1:$I$89,3,0)*VLOOKUP('Données projet'!$B$11,Paramètres!$A$1:$I$89,5,0)</f>
        <v>214.17551999999998</v>
      </c>
      <c r="BF59" s="13">
        <f t="shared" si="37"/>
        <v>52.846993696165399</v>
      </c>
      <c r="BG59" s="20">
        <f t="shared" si="7"/>
        <v>465.06421135415468</v>
      </c>
      <c r="BH59" s="59">
        <f t="shared" si="8"/>
        <v>758.39754468748799</v>
      </c>
      <c r="BI59" s="59">
        <f ca="1">AVERAGE(OFFSET($BH$3,0,0,'Données projet'!$E$11+1,1))-AVERAGE(OFFSET($H$3,0,0,'Données projet'!$E$11+1,1))</f>
        <v>279.49721661620544</v>
      </c>
      <c r="BJ59" s="59">
        <f t="shared" si="38"/>
        <v>275.18739333988754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46.821988062318198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46.821988062318198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5.2</v>
      </c>
      <c r="BY59" s="12">
        <f>IF('Données projet'!$A$114&gt;35,BY58+BX59-CG58,IF(A59&lt;'Données projet'!$A$114,$BV$205^A59,IF(A59='Données projet'!$A$114,'Données projet'!$B$114,BY58+BX59-CG58)))</f>
        <v>224.19999999999987</v>
      </c>
      <c r="BZ59" s="13">
        <f>BY59*VLOOKUP('Données projet'!$B$12,Paramètres!$A$1:$I$89,3,0)*VLOOKUP('Données projet'!$B$12,Paramètres!$A$1:$I$89,5,0)</f>
        <v>216.84623999999991</v>
      </c>
      <c r="CA59" s="13">
        <f t="shared" si="39"/>
        <v>53.428856609352088</v>
      </c>
      <c r="CB59" s="20">
        <f t="shared" si="10"/>
        <v>470.72912659462128</v>
      </c>
      <c r="CC59" s="59">
        <f t="shared" si="11"/>
        <v>764.06245992795459</v>
      </c>
      <c r="CD59" s="59">
        <f ca="1">AVERAGE(OFFSET($CC$3,0,0,'Données projet'!$E$12+1,1))-AVERAGE(OFFSET($H$3,0,0,'Données projet'!$E$12+1,1))</f>
        <v>281.84871057356037</v>
      </c>
      <c r="CE59" s="59">
        <f t="shared" si="40"/>
        <v>276.02211904126887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38.805186287365963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38.805186287365963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6.2</v>
      </c>
      <c r="CT59" s="12">
        <f>IF('Données projet'!$A$140&gt;35,CT58+CS59-DB58,IF(A59&lt;'Données projet'!$A$140,$CQ$205^A59,IF(A59='Données projet'!$A$140,'Données projet'!$B$140,CT58+CS59-DB58)))</f>
        <v>269.19999999999993</v>
      </c>
      <c r="CU59" s="17">
        <f>CT59*VLOOKUP('Données projet'!$B$13,Paramètres!$A$1:$I$89,3,0)*VLOOKUP('Données projet'!$B$13,Paramètres!$A$1:$I$89,5,0)</f>
        <v>214.17551999999998</v>
      </c>
      <c r="CV59" s="13">
        <f t="shared" si="41"/>
        <v>52.846993696165399</v>
      </c>
      <c r="CW59" s="20">
        <f t="shared" si="13"/>
        <v>465.06421135415468</v>
      </c>
      <c r="CX59" s="59">
        <f t="shared" si="14"/>
        <v>758.39754468748799</v>
      </c>
      <c r="CY59" s="59">
        <f ca="1">AVERAGE(OFFSET($CX$3,0,0,'Données projet'!$E$13+1,1))-AVERAGE(OFFSET($H$3,0,0,'Données projet'!$E$13+1,1))</f>
        <v>279.49721661620544</v>
      </c>
      <c r="CZ59" s="59">
        <f t="shared" si="42"/>
        <v>275.18739333988754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46.821988062318198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46.821988062318198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7.6</v>
      </c>
      <c r="DO59" s="12">
        <f>IF('Données projet'!$A$166&gt;35,DO58+DN59-DW58,IF(A59&lt;'Données projet'!$A$166,$DL$205^A59,IF(A59='Données projet'!$A$166,'Données projet'!$B$166,DO58+DN59-DW58)))</f>
        <v>183.6</v>
      </c>
      <c r="DP59" s="17">
        <f>DO59*VLOOKUP('Données projet'!$B$14,Paramètres!$A$1:$I$89,3,0)*VLOOKUP('Données projet'!$B$14,Paramètres!$A$1:$I$89,5,0)</f>
        <v>186.1704</v>
      </c>
      <c r="DQ59" s="13">
        <f t="shared" si="43"/>
        <v>46.692281933796018</v>
      </c>
      <c r="DR59" s="20">
        <f t="shared" si="16"/>
        <v>405.56917103469476</v>
      </c>
      <c r="DS59" s="59">
        <f t="shared" si="17"/>
        <v>698.90250436802808</v>
      </c>
      <c r="DT59" s="59">
        <f ca="1">AVERAGE(OFFSET($DS$3,0,0,'Données projet'!$E$14+1,1))-AVERAGE(OFFSET($H$3,0,0,'Données projet'!$E$14+1,1))</f>
        <v>308.80022073574963</v>
      </c>
      <c r="DU59" s="59">
        <f t="shared" si="44"/>
        <v>183.96267407004115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41.103869655221743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41.103869655221743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5.2</v>
      </c>
      <c r="EJ59" s="12">
        <f>IF('Données projet'!$A$192&gt;35,EJ58+EI59-ER58,IF(A59&lt;'Données projet'!$A$192,$EG$205^A59,IF(A59='Données projet'!$A$192,'Données projet'!$B$192,EJ58+EI59-ER58)))</f>
        <v>224.19999999999987</v>
      </c>
      <c r="EK59" s="17">
        <f>EJ59*VLOOKUP('Données projet'!$B$15,Paramètres!$A$1:$I$89,3,0)*VLOOKUP('Données projet'!$B$15,Paramètres!$A$1:$I$89,5,0)</f>
        <v>146.89583999999991</v>
      </c>
      <c r="EL59" s="13">
        <f t="shared" si="45"/>
        <v>37.872297874710249</v>
      </c>
      <c r="EM59" s="20">
        <f t="shared" si="19"/>
        <v>321.80450679845353</v>
      </c>
      <c r="EN59" s="59">
        <f t="shared" si="20"/>
        <v>615.13784013178679</v>
      </c>
      <c r="EO59" s="59">
        <f ca="1">AVERAGE(OFFSET($EN$3,0,0,'Données projet'!$E$15+1,1))-AVERAGE(OFFSET($H$3,0,0,'Données projet'!$E$15+1,1))</f>
        <v>178.71569711875242</v>
      </c>
      <c r="EP59" s="59">
        <f t="shared" si="46"/>
        <v>178.13848582064168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26.287384259183394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26.287384259183394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7.6</v>
      </c>
      <c r="FE59" s="12">
        <f>IF('Données projet'!$A$218&gt;35,FE58+FD59-FM58,IF(A59&lt;'Données projet'!$A$218,$FB$205^A59,IF(A59='Données projet'!$A$218,'Données projet'!$B$218,FE58+FD59-FM58)))</f>
        <v>183.6</v>
      </c>
      <c r="FF59" s="17">
        <f>FE59*VLOOKUP('Données projet'!$B$16,Paramètres!$A$1:$I$89,3,0)*VLOOKUP('Données projet'!$B$16,Paramètres!$A$1:$I$89,5,0)</f>
        <v>154.66464000000002</v>
      </c>
      <c r="FG59" s="13">
        <f t="shared" si="47"/>
        <v>39.636745068698936</v>
      </c>
      <c r="FH59" s="20">
        <f t="shared" si="22"/>
        <v>338.40824566131732</v>
      </c>
      <c r="FI59" s="59">
        <f t="shared" si="23"/>
        <v>631.74157899465058</v>
      </c>
      <c r="FJ59" s="59">
        <f ca="1">AVERAGE(OFFSET($FI$3,0,0,'Données projet'!$E$16+1,1))-AVERAGE(OFFSET($H$3,0,0,'Données projet'!$E$16+1,1))</f>
        <v>247.22536892257716</v>
      </c>
      <c r="FK59" s="59">
        <f t="shared" si="48"/>
        <v>147.97952262756075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34.147830175107295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34.147830175107295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6">
        <f t="shared" si="1"/>
        <v>356.05218587986496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6.8</v>
      </c>
      <c r="N60" s="13">
        <f>IF('Données projet'!$A$36&gt;35,N59+M60-V59,IF(A60&lt;'Données projet'!$A$36,$K$205^A60,IF(A60='Données projet'!$A$36,'Données projet'!$B$36,N59+M60-V59)))</f>
        <v>221.60000000000022</v>
      </c>
      <c r="O60" s="13">
        <f>N60*VLOOKUP('Données projet'!$B$9,Paramètres!$A$1:$I$89,3,0)*VLOOKUP('Données projet'!$B$9,Paramètres!$A$1:$I$89,5,0)</f>
        <v>193.58976000000021</v>
      </c>
      <c r="P60" s="13">
        <f t="shared" si="33"/>
        <v>48.332731202087132</v>
      </c>
      <c r="Q60" s="20">
        <f t="shared" si="53"/>
        <v>421.34833884363542</v>
      </c>
      <c r="R60" s="59">
        <f t="shared" si="0"/>
        <v>714.68167217696873</v>
      </c>
      <c r="S60" s="59">
        <f ca="1">AVERAGE(OFFSET($R$3,0,0,'Données projet'!$E$9+1,1))-AVERAGE(OFFSET($H$3,0,0,'Données projet'!$E$9+1,1))</f>
        <v>253.73326067725128</v>
      </c>
      <c r="T60" s="59">
        <f t="shared" si="34"/>
        <v>317.76427047458026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58.139593365388826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58.139593365388826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20.399999999999999</v>
      </c>
      <c r="AI60" s="13">
        <f>IF('Données projet'!$A$62&gt;35,AI59+AH60-AQ59,IF(A60&lt;'Données projet'!$A$62,$AF$205^A60,IF(A60='Données projet'!$A$62,'Données projet'!$B$62,AI59+AH60-AQ59)))</f>
        <v>567.79999999999995</v>
      </c>
      <c r="AJ60" s="13">
        <f>AI60*VLOOKUP('Données projet'!$B$10,Paramètres!$A$1:$I$89,3,0)*VLOOKUP('Données projet'!$B$10,Paramètres!$A$1:$I$89,5,0)</f>
        <v>273.11180000000002</v>
      </c>
      <c r="AK60" s="13">
        <f t="shared" si="35"/>
        <v>65.509230697383188</v>
      </c>
      <c r="AL60" s="20">
        <f t="shared" si="4"/>
        <v>589.76496179794242</v>
      </c>
      <c r="AM60" s="59">
        <f t="shared" si="5"/>
        <v>883.09829513127579</v>
      </c>
      <c r="AN60" s="59">
        <f ca="1">AVERAGE(OFFSET($AM$3,0,0,'Données projet'!$E$10+1,1))-AVERAGE(OFFSET($H$3,0,0,'Données projet'!$E$10+1,1))</f>
        <v>349.65790906807746</v>
      </c>
      <c r="AO60" s="59">
        <f t="shared" si="36"/>
        <v>291.88925884278888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88.020880528241264</v>
      </c>
      <c r="AV60" s="21">
        <f>EXP(-LN(2)/25)*AV59+(1-EXP(-LN(2)/25))/(LN(2)/25)*Calculateur!AQ60*Calculateur!AS60*VLOOKUP('Données projet'!$B$10,Paramètres!$A$1:$I$89,3,0)*0.475*44/12</f>
        <v>19.485895560389384</v>
      </c>
      <c r="AW60" s="21">
        <f>EXP(-LN(2)/2)*AW59+(1-EXP(-LN(2)/2))/(LN(2)/2)*AQ60*AT60*VLOOKUP('Données projet'!$B$10,Paramètres!$A$1:$I$89,3,0)*0.475*44/12</f>
        <v>4.4070395754543243E-6</v>
      </c>
      <c r="AX60" s="21">
        <f t="shared" si="6"/>
        <v>107.50678049567021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6.2</v>
      </c>
      <c r="BD60" s="12">
        <f>IF('Données projet'!$A$88&gt;35,BD59+BC60-BL59,IF(A60&lt;'Données projet'!$A$88,$BA$205^A60,IF(A60='Données projet'!$A$88,'Données projet'!$B$88,BD59+BC60-BL59)))</f>
        <v>275.39999999999992</v>
      </c>
      <c r="BE60" s="13">
        <f>BD60*VLOOKUP('Données projet'!$B$11,Paramètres!$A$1:$I$89,3,0)*VLOOKUP('Données projet'!$B$11,Paramètres!$A$1:$I$89,5,0)</f>
        <v>219.10823999999994</v>
      </c>
      <c r="BF60" s="13">
        <f t="shared" si="37"/>
        <v>53.921020297295854</v>
      </c>
      <c r="BG60" s="20">
        <f t="shared" si="7"/>
        <v>475.52596168445672</v>
      </c>
      <c r="BH60" s="59">
        <f t="shared" si="8"/>
        <v>768.85929501779003</v>
      </c>
      <c r="BI60" s="59">
        <f ca="1">AVERAGE(OFFSET($BH$3,0,0,'Données projet'!$E$11+1,1))-AVERAGE(OFFSET($H$3,0,0,'Données projet'!$E$11+1,1))</f>
        <v>279.49721661620544</v>
      </c>
      <c r="BJ60" s="59">
        <f t="shared" si="38"/>
        <v>275.18739333988754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45.903837435008931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45.903837435008931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5.2</v>
      </c>
      <c r="BY60" s="12">
        <f>IF('Données projet'!$A$114&gt;35,BY59+BX60-CG59,IF(A60&lt;'Données projet'!$A$114,$BV$205^A60,IF(A60='Données projet'!$A$114,'Données projet'!$B$114,BY59+BX60-CG59)))</f>
        <v>229.39999999999986</v>
      </c>
      <c r="BZ60" s="13">
        <f>BY60*VLOOKUP('Données projet'!$B$12,Paramètres!$A$1:$I$89,3,0)*VLOOKUP('Données projet'!$B$12,Paramètres!$A$1:$I$89,5,0)</f>
        <v>221.87567999999987</v>
      </c>
      <c r="CA60" s="13">
        <f t="shared" si="39"/>
        <v>54.522353853336597</v>
      </c>
      <c r="CB60" s="20">
        <f t="shared" si="10"/>
        <v>481.39324229456093</v>
      </c>
      <c r="CC60" s="59">
        <f t="shared" si="11"/>
        <v>774.72657562789425</v>
      </c>
      <c r="CD60" s="59">
        <f ca="1">AVERAGE(OFFSET($CC$3,0,0,'Données projet'!$E$12+1,1))-AVERAGE(OFFSET($H$3,0,0,'Données projet'!$E$12+1,1))</f>
        <v>281.84871057356037</v>
      </c>
      <c r="CE60" s="59">
        <f t="shared" si="40"/>
        <v>276.02211904126887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38.04424025309725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38.04424025309725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6.2</v>
      </c>
      <c r="CT60" s="12">
        <f>IF('Données projet'!$A$140&gt;35,CT59+CS60-DB59,IF(A60&lt;'Données projet'!$A$140,$CQ$205^A60,IF(A60='Données projet'!$A$140,'Données projet'!$B$140,CT59+CS60-DB59)))</f>
        <v>275.39999999999992</v>
      </c>
      <c r="CU60" s="17">
        <f>CT60*VLOOKUP('Données projet'!$B$13,Paramètres!$A$1:$I$89,3,0)*VLOOKUP('Données projet'!$B$13,Paramètres!$A$1:$I$89,5,0)</f>
        <v>219.10823999999994</v>
      </c>
      <c r="CV60" s="13">
        <f t="shared" si="41"/>
        <v>53.921020297295854</v>
      </c>
      <c r="CW60" s="20">
        <f t="shared" si="13"/>
        <v>475.52596168445672</v>
      </c>
      <c r="CX60" s="59">
        <f t="shared" si="14"/>
        <v>768.85929501779003</v>
      </c>
      <c r="CY60" s="59">
        <f ca="1">AVERAGE(OFFSET($CX$3,0,0,'Données projet'!$E$13+1,1))-AVERAGE(OFFSET($H$3,0,0,'Données projet'!$E$13+1,1))</f>
        <v>279.49721661620544</v>
      </c>
      <c r="CZ60" s="59">
        <f t="shared" si="42"/>
        <v>275.18739333988754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45.903837435008931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45.903837435008931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7.6</v>
      </c>
      <c r="DO60" s="12">
        <f>IF('Données projet'!$A$166&gt;35,DO59+DN60-DW59,IF(A60&lt;'Données projet'!$A$166,$DL$205^A60,IF(A60='Données projet'!$A$166,'Données projet'!$B$166,DO59+DN60-DW59)))</f>
        <v>191.2</v>
      </c>
      <c r="DP60" s="17">
        <f>DO60*VLOOKUP('Données projet'!$B$14,Paramètres!$A$1:$I$89,3,0)*VLOOKUP('Données projet'!$B$14,Paramètres!$A$1:$I$89,5,0)</f>
        <v>193.8768</v>
      </c>
      <c r="DQ60" s="13">
        <f t="shared" si="43"/>
        <v>48.396048099527611</v>
      </c>
      <c r="DR60" s="20">
        <f t="shared" si="16"/>
        <v>421.95854377334393</v>
      </c>
      <c r="DS60" s="59">
        <f t="shared" si="17"/>
        <v>715.29187710667725</v>
      </c>
      <c r="DT60" s="59">
        <f ca="1">AVERAGE(OFFSET($DS$3,0,0,'Données projet'!$E$14+1,1))-AVERAGE(OFFSET($H$3,0,0,'Données projet'!$E$14+1,1))</f>
        <v>308.80022073574963</v>
      </c>
      <c r="DU60" s="59">
        <f t="shared" si="44"/>
        <v>183.96267407004115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40.297847842167791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40.297847842167791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5.2</v>
      </c>
      <c r="EJ60" s="12">
        <f>IF('Données projet'!$A$192&gt;35,EJ59+EI60-ER59,IF(A60&lt;'Données projet'!$A$192,$EG$205^A60,IF(A60='Données projet'!$A$192,'Données projet'!$B$192,EJ59+EI60-ER59)))</f>
        <v>229.39999999999986</v>
      </c>
      <c r="EK60" s="17">
        <f>EJ60*VLOOKUP('Données projet'!$B$15,Paramètres!$A$1:$I$89,3,0)*VLOOKUP('Données projet'!$B$15,Paramètres!$A$1:$I$89,5,0)</f>
        <v>150.3028799999999</v>
      </c>
      <c r="EL60" s="13">
        <f t="shared" si="45"/>
        <v>38.647408104976812</v>
      </c>
      <c r="EM60" s="20">
        <f t="shared" si="19"/>
        <v>329.08841844950109</v>
      </c>
      <c r="EN60" s="59">
        <f t="shared" si="20"/>
        <v>622.42175178283446</v>
      </c>
      <c r="EO60" s="59">
        <f ca="1">AVERAGE(OFFSET($EN$3,0,0,'Données projet'!$E$15+1,1))-AVERAGE(OFFSET($H$3,0,0,'Données projet'!$E$15+1,1))</f>
        <v>178.71569711875242</v>
      </c>
      <c r="EP60" s="59">
        <f t="shared" si="46"/>
        <v>178.13848582064168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25.771904687582008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25.771904687582008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7.6</v>
      </c>
      <c r="FE60" s="12">
        <f>IF('Données projet'!$A$218&gt;35,FE59+FD60-FM59,IF(A60&lt;'Données projet'!$A$218,$FB$205^A60,IF(A60='Données projet'!$A$218,'Données projet'!$B$218,FE59+FD60-FM59)))</f>
        <v>191.2</v>
      </c>
      <c r="FF60" s="17">
        <f>FE60*VLOOKUP('Données projet'!$B$16,Paramètres!$A$1:$I$89,3,0)*VLOOKUP('Données projet'!$B$16,Paramètres!$A$1:$I$89,5,0)</f>
        <v>161.06688000000003</v>
      </c>
      <c r="FG60" s="13">
        <f t="shared" si="47"/>
        <v>41.083060013501324</v>
      </c>
      <c r="FH60" s="20">
        <f t="shared" si="22"/>
        <v>352.07781219018153</v>
      </c>
      <c r="FI60" s="59">
        <f t="shared" si="23"/>
        <v>645.41114552351485</v>
      </c>
      <c r="FJ60" s="59">
        <f ca="1">AVERAGE(OFFSET($FI$3,0,0,'Données projet'!$E$16+1,1))-AVERAGE(OFFSET($H$3,0,0,'Données projet'!$E$16+1,1))</f>
        <v>247.22536892257716</v>
      </c>
      <c r="FK60" s="59">
        <f t="shared" si="48"/>
        <v>147.97952262756075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33.478212053493245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33.478212053493245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6">
        <f t="shared" si="1"/>
        <v>357.12171588148163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6.8</v>
      </c>
      <c r="N61" s="13">
        <f>IF('Données projet'!$A$36&gt;35,N60+M61-V60,IF(A61&lt;'Données projet'!$A$36,$K$205^A61,IF(A61='Données projet'!$A$36,'Données projet'!$B$36,N60+M61-V60)))</f>
        <v>228.40000000000023</v>
      </c>
      <c r="O61" s="13">
        <f>N61*VLOOKUP('Données projet'!$B$9,Paramètres!$A$1:$I$89,3,0)*VLOOKUP('Données projet'!$B$9,Paramètres!$A$1:$I$89,5,0)</f>
        <v>199.53024000000022</v>
      </c>
      <c r="P61" s="13">
        <f t="shared" si="33"/>
        <v>49.640914570461312</v>
      </c>
      <c r="Q61" s="20">
        <f t="shared" si="53"/>
        <v>433.97309421022049</v>
      </c>
      <c r="R61" s="59">
        <f t="shared" si="0"/>
        <v>727.30642754355381</v>
      </c>
      <c r="S61" s="59">
        <f ca="1">AVERAGE(OFFSET($R$3,0,0,'Données projet'!$E$9+1,1))-AVERAGE(OFFSET($H$3,0,0,'Données projet'!$E$9+1,1))</f>
        <v>253.73326067725128</v>
      </c>
      <c r="T61" s="59">
        <f t="shared" si="34"/>
        <v>317.76427047458026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56.999511401143955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56.999511401143955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20.399999999999999</v>
      </c>
      <c r="AI61" s="13">
        <f>IF('Données projet'!$A$62&gt;35,AI60+AH61-AQ60,IF(A61&lt;'Données projet'!$A$62,$AF$205^A61,IF(A61='Données projet'!$A$62,'Données projet'!$B$62,AI60+AH61-AQ60)))</f>
        <v>588.19999999999993</v>
      </c>
      <c r="AJ61" s="13">
        <f>AI61*VLOOKUP('Données projet'!$B$10,Paramètres!$A$1:$I$89,3,0)*VLOOKUP('Données projet'!$B$10,Paramètres!$A$1:$I$89,5,0)</f>
        <v>282.92419999999998</v>
      </c>
      <c r="AK61" s="13">
        <f t="shared" si="35"/>
        <v>67.584602243209304</v>
      </c>
      <c r="AL61" s="20">
        <f t="shared" si="4"/>
        <v>610.46949724025615</v>
      </c>
      <c r="AM61" s="59">
        <f t="shared" si="5"/>
        <v>903.80283057358952</v>
      </c>
      <c r="AN61" s="59">
        <f ca="1">AVERAGE(OFFSET($AM$3,0,0,'Données projet'!$E$10+1,1))-AVERAGE(OFFSET($H$3,0,0,'Données projet'!$E$10+1,1))</f>
        <v>349.65790906807746</v>
      </c>
      <c r="AO61" s="59">
        <f t="shared" si="36"/>
        <v>291.88925884278888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86.294844748518386</v>
      </c>
      <c r="AV61" s="21">
        <f>EXP(-LN(2)/25)*AV60+(1-EXP(-LN(2)/25))/(LN(2)/25)*Calculateur!AQ61*Calculateur!AS61*VLOOKUP('Données projet'!$B$10,Paramètres!$A$1:$I$89,3,0)*0.475*44/12</f>
        <v>18.953052721571826</v>
      </c>
      <c r="AW61" s="21">
        <f>EXP(-LN(2)/2)*AW60+(1-EXP(-LN(2)/2))/(LN(2)/2)*AQ61*AT61*VLOOKUP('Données projet'!$B$10,Paramètres!$A$1:$I$89,3,0)*0.475*44/12</f>
        <v>3.1162475687612362E-6</v>
      </c>
      <c r="AX61" s="21">
        <f t="shared" si="6"/>
        <v>105.24790058633778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6.2</v>
      </c>
      <c r="BD61" s="12">
        <f>IF('Données projet'!$A$88&gt;35,BD60+BC61-BL60,IF(A61&lt;'Données projet'!$A$88,$BA$205^A61,IF(A61='Données projet'!$A$88,'Données projet'!$B$88,BD60+BC61-BL60)))</f>
        <v>281.59999999999991</v>
      </c>
      <c r="BE61" s="13">
        <f>BD61*VLOOKUP('Données projet'!$B$11,Paramètres!$A$1:$I$89,3,0)*VLOOKUP('Données projet'!$B$11,Paramètres!$A$1:$I$89,5,0)</f>
        <v>224.04095999999993</v>
      </c>
      <c r="BF61" s="13">
        <f t="shared" si="37"/>
        <v>54.992235867381233</v>
      </c>
      <c r="BG61" s="20">
        <f t="shared" si="7"/>
        <v>485.98281613568884</v>
      </c>
      <c r="BH61" s="59">
        <f t="shared" si="8"/>
        <v>779.31614946902209</v>
      </c>
      <c r="BI61" s="59">
        <f ca="1">AVERAGE(OFFSET($BH$3,0,0,'Données projet'!$E$11+1,1))-AVERAGE(OFFSET($H$3,0,0,'Données projet'!$E$11+1,1))</f>
        <v>279.49721661620544</v>
      </c>
      <c r="BJ61" s="59">
        <f t="shared" si="38"/>
        <v>275.18739333988754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45.003691181484612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45.003691181484612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5.2</v>
      </c>
      <c r="BY61" s="12">
        <f>IF('Données projet'!$A$114&gt;35,BY60+BX61-CG60,IF(A61&lt;'Données projet'!$A$114,$BV$205^A61,IF(A61='Données projet'!$A$114,'Données projet'!$B$114,BY60+BX61-CG60)))</f>
        <v>234.59999999999985</v>
      </c>
      <c r="BZ61" s="13">
        <f>BY61*VLOOKUP('Données projet'!$B$12,Paramètres!$A$1:$I$89,3,0)*VLOOKUP('Données projet'!$B$12,Paramètres!$A$1:$I$89,5,0)</f>
        <v>226.90511999999987</v>
      </c>
      <c r="CA61" s="13">
        <f t="shared" si="39"/>
        <v>55.612969408444364</v>
      </c>
      <c r="CB61" s="20">
        <f t="shared" si="10"/>
        <v>492.05233905304038</v>
      </c>
      <c r="CC61" s="59">
        <f t="shared" si="11"/>
        <v>785.3856723863737</v>
      </c>
      <c r="CD61" s="59">
        <f ca="1">AVERAGE(OFFSET($CC$3,0,0,'Données projet'!$E$12+1,1))-AVERAGE(OFFSET($H$3,0,0,'Données projet'!$E$12+1,1))</f>
        <v>281.84871057356037</v>
      </c>
      <c r="CE61" s="59">
        <f t="shared" si="40"/>
        <v>276.02211904126887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37.298215906429292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37.298215906429292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6.2</v>
      </c>
      <c r="CT61" s="12">
        <f>IF('Données projet'!$A$140&gt;35,CT60+CS61-DB60,IF(A61&lt;'Données projet'!$A$140,$CQ$205^A61,IF(A61='Données projet'!$A$140,'Données projet'!$B$140,CT60+CS61-DB60)))</f>
        <v>281.59999999999991</v>
      </c>
      <c r="CU61" s="17">
        <f>CT61*VLOOKUP('Données projet'!$B$13,Paramètres!$A$1:$I$89,3,0)*VLOOKUP('Données projet'!$B$13,Paramètres!$A$1:$I$89,5,0)</f>
        <v>224.04095999999993</v>
      </c>
      <c r="CV61" s="13">
        <f t="shared" si="41"/>
        <v>54.992235867381233</v>
      </c>
      <c r="CW61" s="20">
        <f t="shared" si="13"/>
        <v>485.98281613568884</v>
      </c>
      <c r="CX61" s="59">
        <f t="shared" si="14"/>
        <v>779.31614946902209</v>
      </c>
      <c r="CY61" s="59">
        <f ca="1">AVERAGE(OFFSET($CX$3,0,0,'Données projet'!$E$13+1,1))-AVERAGE(OFFSET($H$3,0,0,'Données projet'!$E$13+1,1))</f>
        <v>279.49721661620544</v>
      </c>
      <c r="CZ61" s="59">
        <f t="shared" si="42"/>
        <v>275.18739333988754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45.003691181484612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45.003691181484612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7.6</v>
      </c>
      <c r="DO61" s="12">
        <f>IF('Données projet'!$A$166&gt;35,DO60+DN61-DW60,IF(A61&lt;'Données projet'!$A$166,$DL$205^A61,IF(A61='Données projet'!$A$166,'Données projet'!$B$166,DO60+DN61-DW60)))</f>
        <v>198.79999999999998</v>
      </c>
      <c r="DP61" s="17">
        <f>DO61*VLOOKUP('Données projet'!$B$14,Paramètres!$A$1:$I$89,3,0)*VLOOKUP('Données projet'!$B$14,Paramètres!$A$1:$I$89,5,0)</f>
        <v>201.58320000000001</v>
      </c>
      <c r="DQ61" s="13">
        <f t="shared" si="43"/>
        <v>50.091947337331924</v>
      </c>
      <c r="DR61" s="20">
        <f t="shared" si="16"/>
        <v>438.33421494585309</v>
      </c>
      <c r="DS61" s="59">
        <f t="shared" si="17"/>
        <v>731.66754827918635</v>
      </c>
      <c r="DT61" s="59">
        <f ca="1">AVERAGE(OFFSET($DS$3,0,0,'Données projet'!$E$14+1,1))-AVERAGE(OFFSET($H$3,0,0,'Données projet'!$E$14+1,1))</f>
        <v>308.80022073574963</v>
      </c>
      <c r="DU61" s="59">
        <f t="shared" si="44"/>
        <v>183.96267407004115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39.507631625243064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39.507631625243064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5.2</v>
      </c>
      <c r="EJ61" s="12">
        <f>IF('Données projet'!$A$192&gt;35,EJ60+EI61-ER60,IF(A61&lt;'Données projet'!$A$192,$EG$205^A61,IF(A61='Données projet'!$A$192,'Données projet'!$B$192,EJ60+EI61-ER60)))</f>
        <v>234.59999999999985</v>
      </c>
      <c r="EK61" s="17">
        <f>EJ61*VLOOKUP('Données projet'!$B$15,Paramètres!$A$1:$I$89,3,0)*VLOOKUP('Données projet'!$B$15,Paramètres!$A$1:$I$89,5,0)</f>
        <v>153.7099199999999</v>
      </c>
      <c r="EL61" s="13">
        <f t="shared" si="45"/>
        <v>39.420475690379796</v>
      </c>
      <c r="EM61" s="20">
        <f t="shared" si="19"/>
        <v>336.36877249407797</v>
      </c>
      <c r="EN61" s="59">
        <f t="shared" si="20"/>
        <v>629.70210582741129</v>
      </c>
      <c r="EO61" s="59">
        <f ca="1">AVERAGE(OFFSET($EN$3,0,0,'Données projet'!$E$15+1,1))-AVERAGE(OFFSET($H$3,0,0,'Données projet'!$E$15+1,1))</f>
        <v>178.71569711875242</v>
      </c>
      <c r="EP61" s="59">
        <f t="shared" si="46"/>
        <v>178.13848582064168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25.266533355968232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25.266533355968232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7.6</v>
      </c>
      <c r="FE61" s="12">
        <f>IF('Données projet'!$A$218&gt;35,FE60+FD61-FM60,IF(A61&lt;'Données projet'!$A$218,$FB$205^A61,IF(A61='Données projet'!$A$218,'Données projet'!$B$218,FE60+FD61-FM60)))</f>
        <v>198.79999999999998</v>
      </c>
      <c r="FF61" s="17">
        <f>FE61*VLOOKUP('Données projet'!$B$16,Paramètres!$A$1:$I$89,3,0)*VLOOKUP('Données projet'!$B$16,Paramètres!$A$1:$I$89,5,0)</f>
        <v>167.46912</v>
      </c>
      <c r="FG61" s="13">
        <f t="shared" si="47"/>
        <v>42.52269677930262</v>
      </c>
      <c r="FH61" s="20">
        <f t="shared" si="22"/>
        <v>365.73574755728538</v>
      </c>
      <c r="FI61" s="59">
        <f t="shared" si="23"/>
        <v>659.06908089061869</v>
      </c>
      <c r="FJ61" s="59">
        <f ca="1">AVERAGE(OFFSET($FI$3,0,0,'Données projet'!$E$16+1,1))-AVERAGE(OFFSET($H$3,0,0,'Données projet'!$E$16+1,1))</f>
        <v>247.22536892257716</v>
      </c>
      <c r="FK61" s="59">
        <f t="shared" si="48"/>
        <v>147.97952262756075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32.821724734817316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32.821724734817316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6">
        <f t="shared" si="1"/>
        <v>358.19078115001309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6.8</v>
      </c>
      <c r="N62" s="13">
        <f>IF('Données projet'!$A$36&gt;35,N61+M62-V61,IF(A62&lt;'Données projet'!$A$36,$K$205^A62,IF(A62='Données projet'!$A$36,'Données projet'!$B$36,N61+M62-V61)))</f>
        <v>235.20000000000024</v>
      </c>
      <c r="O62" s="13">
        <f>N62*VLOOKUP('Données projet'!$B$9,Paramètres!$A$1:$I$89,3,0)*VLOOKUP('Données projet'!$B$9,Paramètres!$A$1:$I$89,5,0)</f>
        <v>205.47072000000026</v>
      </c>
      <c r="P62" s="13">
        <f t="shared" si="33"/>
        <v>50.944571570352757</v>
      </c>
      <c r="Q62" s="20">
        <f t="shared" si="53"/>
        <v>446.58996615169809</v>
      </c>
      <c r="R62" s="59">
        <f t="shared" si="0"/>
        <v>739.92329948503141</v>
      </c>
      <c r="S62" s="59">
        <f ca="1">AVERAGE(OFFSET($R$3,0,0,'Données projet'!$E$9+1,1))-AVERAGE(OFFSET($H$3,0,0,'Données projet'!$E$9+1,1))</f>
        <v>253.73326067725128</v>
      </c>
      <c r="T62" s="59">
        <f t="shared" si="34"/>
        <v>317.76427047458026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55.881785748836592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55.881785748836592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20.399999999999999</v>
      </c>
      <c r="AI62" s="13">
        <f>IF('Données projet'!$A$62&gt;35,AI61+AH62-AQ61,IF(A62&lt;'Données projet'!$A$62,$AF$205^A62,IF(A62='Données projet'!$A$62,'Données projet'!$B$62,AI61+AH62-AQ61)))</f>
        <v>608.59999999999991</v>
      </c>
      <c r="AJ62" s="13">
        <f>AI62*VLOOKUP('Données projet'!$B$10,Paramètres!$A$1:$I$89,3,0)*VLOOKUP('Données projet'!$B$10,Paramètres!$A$1:$I$89,5,0)</f>
        <v>292.73659999999995</v>
      </c>
      <c r="AK62" s="13">
        <f t="shared" si="35"/>
        <v>69.651610643753884</v>
      </c>
      <c r="AL62" s="20">
        <f t="shared" si="4"/>
        <v>631.15946687120459</v>
      </c>
      <c r="AM62" s="59">
        <f t="shared" si="5"/>
        <v>924.49280020453784</v>
      </c>
      <c r="AN62" s="59">
        <f ca="1">AVERAGE(OFFSET($AM$3,0,0,'Données projet'!$E$10+1,1))-AVERAGE(OFFSET($H$3,0,0,'Données projet'!$E$10+1,1))</f>
        <v>349.65790906807746</v>
      </c>
      <c r="AO62" s="59">
        <f t="shared" si="36"/>
        <v>291.88925884278888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84.60265547765799</v>
      </c>
      <c r="AV62" s="21">
        <f>EXP(-LN(2)/25)*AV61+(1-EXP(-LN(2)/25))/(LN(2)/25)*Calculateur!AQ62*Calculateur!AS62*VLOOKUP('Données projet'!$B$10,Paramètres!$A$1:$I$89,3,0)*0.475*44/12</f>
        <v>18.43478049820272</v>
      </c>
      <c r="AW62" s="21">
        <f>EXP(-LN(2)/2)*AW61+(1-EXP(-LN(2)/2))/(LN(2)/2)*AQ62*AT62*VLOOKUP('Données projet'!$B$10,Paramètres!$A$1:$I$89,3,0)*0.475*44/12</f>
        <v>2.2035197877271622E-6</v>
      </c>
      <c r="AX62" s="21">
        <f t="shared" si="6"/>
        <v>103.0374381793805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6.2</v>
      </c>
      <c r="BD62" s="12">
        <f>IF('Données projet'!$A$88&gt;35,BD61+BC62-BL61,IF(A62&lt;'Données projet'!$A$88,$BA$205^A62,IF(A62='Données projet'!$A$88,'Données projet'!$B$88,BD61+BC62-BL61)))</f>
        <v>287.7999999999999</v>
      </c>
      <c r="BE62" s="13">
        <f>BD62*VLOOKUP('Données projet'!$B$11,Paramètres!$A$1:$I$89,3,0)*VLOOKUP('Données projet'!$B$11,Paramètres!$A$1:$I$89,5,0)</f>
        <v>228.97367999999994</v>
      </c>
      <c r="BF62" s="13">
        <f t="shared" si="37"/>
        <v>56.060709423888284</v>
      </c>
      <c r="BG62" s="20">
        <f t="shared" si="7"/>
        <v>496.43489491327199</v>
      </c>
      <c r="BH62" s="59">
        <f t="shared" si="8"/>
        <v>789.7682282466053</v>
      </c>
      <c r="BI62" s="59">
        <f ca="1">AVERAGE(OFFSET($BH$3,0,0,'Données projet'!$E$11+1,1))-AVERAGE(OFFSET($H$3,0,0,'Données projet'!$E$11+1,1))</f>
        <v>279.49721661620544</v>
      </c>
      <c r="BJ62" s="59">
        <f t="shared" si="38"/>
        <v>275.18739333988754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44.121196246956906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44.121196246956906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5.2</v>
      </c>
      <c r="BY62" s="12">
        <f>IF('Données projet'!$A$114&gt;35,BY61+BX62-CG61,IF(A62&lt;'Données projet'!$A$114,$BV$205^A62,IF(A62='Données projet'!$A$114,'Données projet'!$B$114,BY61+BX62-CG61)))</f>
        <v>239.79999999999984</v>
      </c>
      <c r="BZ62" s="13">
        <f>BY62*VLOOKUP('Données projet'!$B$12,Paramètres!$A$1:$I$89,3,0)*VLOOKUP('Données projet'!$B$12,Paramètres!$A$1:$I$89,5,0)</f>
        <v>231.93455999999986</v>
      </c>
      <c r="CA62" s="13">
        <f t="shared" si="39"/>
        <v>56.700774503204229</v>
      </c>
      <c r="CB62" s="20">
        <f t="shared" si="10"/>
        <v>502.70654092641371</v>
      </c>
      <c r="CC62" s="59">
        <f t="shared" si="11"/>
        <v>796.03987425974697</v>
      </c>
      <c r="CD62" s="59">
        <f ca="1">AVERAGE(OFFSET($CC$3,0,0,'Données projet'!$E$12+1,1))-AVERAGE(OFFSET($H$3,0,0,'Données projet'!$E$12+1,1))</f>
        <v>281.84871057356037</v>
      </c>
      <c r="CE62" s="59">
        <f t="shared" si="40"/>
        <v>276.02211904126887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36.566820642169574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36.566820642169574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6.2</v>
      </c>
      <c r="CT62" s="12">
        <f>IF('Données projet'!$A$140&gt;35,CT61+CS62-DB61,IF(A62&lt;'Données projet'!$A$140,$CQ$205^A62,IF(A62='Données projet'!$A$140,'Données projet'!$B$140,CT61+CS62-DB61)))</f>
        <v>287.7999999999999</v>
      </c>
      <c r="CU62" s="17">
        <f>CT62*VLOOKUP('Données projet'!$B$13,Paramètres!$A$1:$I$89,3,0)*VLOOKUP('Données projet'!$B$13,Paramètres!$A$1:$I$89,5,0)</f>
        <v>228.97367999999994</v>
      </c>
      <c r="CV62" s="13">
        <f t="shared" si="41"/>
        <v>56.060709423888284</v>
      </c>
      <c r="CW62" s="20">
        <f t="shared" si="13"/>
        <v>496.43489491327199</v>
      </c>
      <c r="CX62" s="59">
        <f t="shared" si="14"/>
        <v>789.7682282466053</v>
      </c>
      <c r="CY62" s="59">
        <f ca="1">AVERAGE(OFFSET($CX$3,0,0,'Données projet'!$E$13+1,1))-AVERAGE(OFFSET($H$3,0,0,'Données projet'!$E$13+1,1))</f>
        <v>279.49721661620544</v>
      </c>
      <c r="CZ62" s="59">
        <f t="shared" si="42"/>
        <v>275.18739333988754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44.121196246956906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44.121196246956906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7.6</v>
      </c>
      <c r="DO62" s="12">
        <f>IF('Données projet'!$A$166&gt;35,DO61+DN62-DW61,IF(A62&lt;'Données projet'!$A$166,$DL$205^A62,IF(A62='Données projet'!$A$166,'Données projet'!$B$166,DO61+DN62-DW61)))</f>
        <v>206.39999999999998</v>
      </c>
      <c r="DP62" s="17">
        <f>DO62*VLOOKUP('Données projet'!$B$14,Paramètres!$A$1:$I$89,3,0)*VLOOKUP('Données projet'!$B$14,Paramètres!$A$1:$I$89,5,0)</f>
        <v>209.28960000000001</v>
      </c>
      <c r="DQ62" s="13">
        <f t="shared" si="43"/>
        <v>51.780314822292169</v>
      </c>
      <c r="DR62" s="20">
        <f t="shared" si="16"/>
        <v>454.69676831549214</v>
      </c>
      <c r="DS62" s="59">
        <f t="shared" si="17"/>
        <v>748.03010164882539</v>
      </c>
      <c r="DT62" s="59">
        <f ca="1">AVERAGE(OFFSET($DS$3,0,0,'Données projet'!$E$14+1,1))-AVERAGE(OFFSET($H$3,0,0,'Données projet'!$E$14+1,1))</f>
        <v>308.80022073574963</v>
      </c>
      <c r="DU62" s="59">
        <f t="shared" si="44"/>
        <v>183.96267407004115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38.732911066347931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38.732911066347931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5.2</v>
      </c>
      <c r="EJ62" s="12">
        <f>IF('Données projet'!$A$192&gt;35,EJ61+EI62-ER61,IF(A62&lt;'Données projet'!$A$192,$EG$205^A62,IF(A62='Données projet'!$A$192,'Données projet'!$B$192,EJ61+EI62-ER61)))</f>
        <v>239.79999999999984</v>
      </c>
      <c r="EK62" s="17">
        <f>EJ62*VLOOKUP('Données projet'!$B$15,Paramètres!$A$1:$I$89,3,0)*VLOOKUP('Données projet'!$B$15,Paramètres!$A$1:$I$89,5,0)</f>
        <v>157.11695999999989</v>
      </c>
      <c r="EL62" s="13">
        <f t="shared" si="45"/>
        <v>40.191551120265821</v>
      </c>
      <c r="EM62" s="20">
        <f t="shared" si="19"/>
        <v>343.64565686779611</v>
      </c>
      <c r="EN62" s="59">
        <f t="shared" si="20"/>
        <v>636.97899020112936</v>
      </c>
      <c r="EO62" s="59">
        <f ca="1">AVERAGE(OFFSET($EN$3,0,0,'Données projet'!$E$15+1,1))-AVERAGE(OFFSET($H$3,0,0,'Données projet'!$E$15+1,1))</f>
        <v>178.71569711875242</v>
      </c>
      <c r="EP62" s="59">
        <f t="shared" si="46"/>
        <v>178.13848582064168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24.771072047921326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24.771072047921326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7.6</v>
      </c>
      <c r="FE62" s="12">
        <f>IF('Données projet'!$A$218&gt;35,FE61+FD62-FM61,IF(A62&lt;'Données projet'!$A$218,$FB$205^A62,IF(A62='Données projet'!$A$218,'Données projet'!$B$218,FE61+FD62-FM61)))</f>
        <v>206.39999999999998</v>
      </c>
      <c r="FF62" s="17">
        <f>FE62*VLOOKUP('Données projet'!$B$16,Paramètres!$A$1:$I$89,3,0)*VLOOKUP('Données projet'!$B$16,Paramètres!$A$1:$I$89,5,0)</f>
        <v>173.87135999999998</v>
      </c>
      <c r="FG62" s="13">
        <f t="shared" si="47"/>
        <v>43.955939893839961</v>
      </c>
      <c r="FH62" s="20">
        <f t="shared" si="22"/>
        <v>379.3825473151046</v>
      </c>
      <c r="FI62" s="59">
        <f t="shared" si="23"/>
        <v>672.71588064843786</v>
      </c>
      <c r="FJ62" s="59">
        <f ca="1">AVERAGE(OFFSET($FI$3,0,0,'Données projet'!$E$16+1,1))-AVERAGE(OFFSET($H$3,0,0,'Données projet'!$E$16+1,1))</f>
        <v>247.22536892257716</v>
      </c>
      <c r="FK62" s="59">
        <f t="shared" si="48"/>
        <v>147.97952262756075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32.178110732042896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32.178110732042896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6">
        <f t="shared" si="1"/>
        <v>359.25939047133363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242</v>
      </c>
      <c r="L63" s="12">
        <f>VLOOKUP(A63,'Données projet'!$A$35:$I$55,9,0)</f>
        <v>6.8</v>
      </c>
      <c r="M63" s="12">
        <f t="array" ref="M63">INDEX(L:L,MIN(IF(ISNUMBER(L63:L259),ROW(L63:L259),"")))</f>
        <v>6.8</v>
      </c>
      <c r="N63" s="13">
        <f>IF('Données projet'!$A$36&gt;35,N62+M63-V62,IF(A63&lt;'Données projet'!$A$36,$K$205^A63,IF(A63='Données projet'!$A$36,'Données projet'!$B$36,N62+M63-V62)))</f>
        <v>242.00000000000026</v>
      </c>
      <c r="O63" s="13">
        <f>N63*VLOOKUP('Données projet'!$B$9,Paramètres!$A$1:$I$89,3,0)*VLOOKUP('Données projet'!$B$9,Paramètres!$A$1:$I$89,5,0)</f>
        <v>211.41120000000024</v>
      </c>
      <c r="P63" s="13">
        <f t="shared" si="33"/>
        <v>52.243848094411206</v>
      </c>
      <c r="Q63" s="20">
        <f t="shared" si="53"/>
        <v>459.19920876443319</v>
      </c>
      <c r="R63" s="59">
        <f t="shared" si="0"/>
        <v>752.53254209776651</v>
      </c>
      <c r="S63" s="59">
        <f ca="1">AVERAGE(OFFSET($R$3,0,0,'Données projet'!$E$9+1,1))-AVERAGE(OFFSET($H$3,0,0,'Données projet'!$E$9+1,1))</f>
        <v>253.73326067725128</v>
      </c>
      <c r="T63" s="59">
        <f t="shared" si="34"/>
        <v>317.76427047458026</v>
      </c>
      <c r="U63" s="15">
        <f>IF(ISNA(VLOOKUP(A63,'Données projet'!$A$35:$I$55,3,0)),0,VLOOKUP(A63,'Données projet'!$A$35:$I$55,3,0))</f>
        <v>10</v>
      </c>
      <c r="V63" s="15">
        <f>IF(ISNA(VLOOKUP(A63,'Données projet'!$A$35:$I$55,4,0)),0,VLOOKUP(A63,'Données projet'!$A$35:$I$55,4,0))</f>
        <v>26</v>
      </c>
      <c r="W63" s="16">
        <f>IF(ISNA(VLOOKUP(A63,'Données projet'!$A$35:$I$55,5,0)),0%,VLOOKUP(A63,'Données projet'!$A$35:$I$55,5,0)*VLOOKUP('Données projet'!$B$9,Paramètres!$A$1:$I$89,7,0))</f>
        <v>0.43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65.582939180226276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65.582939180226276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629</v>
      </c>
      <c r="AG63" s="12">
        <f>VLOOKUP(A63,'Données projet'!$A$61:$I$81,9,0)</f>
        <v>20.399999999999999</v>
      </c>
      <c r="AH63" s="12">
        <f t="array" ref="AH63">INDEX(AG:AG,MIN(IF(ISNUMBER(AG63:AG259),ROW(AG63:AG259),"")))</f>
        <v>20.399999999999999</v>
      </c>
      <c r="AI63" s="13">
        <f>IF('Données projet'!$A$62&gt;35,AI62+AH63-AQ62,IF(A63&lt;'Données projet'!$A$62,$AF$205^A63,IF(A63='Données projet'!$A$62,'Données projet'!$B$62,AI62+AH63-AQ62)))</f>
        <v>628.99999999999989</v>
      </c>
      <c r="AJ63" s="13">
        <f>AI63*VLOOKUP('Données projet'!$B$10,Paramètres!$A$1:$I$89,3,0)*VLOOKUP('Données projet'!$B$10,Paramètres!$A$1:$I$89,5,0)</f>
        <v>302.54899999999998</v>
      </c>
      <c r="AK63" s="13">
        <f t="shared" si="35"/>
        <v>71.710568367312305</v>
      </c>
      <c r="AL63" s="20">
        <f t="shared" si="4"/>
        <v>651.83541490640221</v>
      </c>
      <c r="AM63" s="59">
        <f t="shared" si="5"/>
        <v>945.16874823973558</v>
      </c>
      <c r="AN63" s="59">
        <f ca="1">AVERAGE(OFFSET($AM$3,0,0,'Données projet'!$E$10+1,1))-AVERAGE(OFFSET($H$3,0,0,'Données projet'!$E$10+1,1))</f>
        <v>349.65790906807746</v>
      </c>
      <c r="AO63" s="59">
        <f t="shared" si="36"/>
        <v>291.88925884278888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54</v>
      </c>
      <c r="AR63" s="16">
        <f>IF(ISNA(VLOOKUP(A63,'Données projet'!$A$61:$I$81,5,0)),0%,VLOOKUP(A63,'Données projet'!$A$61:$I$81,5,0)*VLOOKUP('Données projet'!$B$10,Paramètres!$A$1:$I$89,7,0))</f>
        <v>0.55000000000000004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101.89455084733828</v>
      </c>
      <c r="AV63" s="21">
        <f>EXP(-LN(2)/25)*AV62+(1-EXP(-LN(2)/25))/(LN(2)/25)*Calculateur!AQ63*Calculateur!AS63*VLOOKUP('Données projet'!$B$10,Paramètres!$A$1:$I$89,3,0)*0.475*44/12</f>
        <v>17.930680456036395</v>
      </c>
      <c r="AW63" s="21">
        <f>EXP(-LN(2)/2)*AW62+(1-EXP(-LN(2)/2))/(LN(2)/2)*AQ63*AT63*VLOOKUP('Données projet'!$B$10,Paramètres!$A$1:$I$89,3,0)*0.475*44/12</f>
        <v>1.5581237843806181E-6</v>
      </c>
      <c r="AX63" s="21">
        <f t="shared" si="6"/>
        <v>119.82523286149846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294</v>
      </c>
      <c r="BB63" s="12">
        <f>VLOOKUP(A63,'Données projet'!$A$87:$I$107,9,0)</f>
        <v>6.2</v>
      </c>
      <c r="BC63" s="12">
        <f t="array" ref="BC63">INDEX(BB:BB,MIN(IF(ISNUMBER(BB63:BB259),ROW(BB63:BB259),"")))</f>
        <v>6.2</v>
      </c>
      <c r="BD63" s="12">
        <f>IF('Données projet'!$A$88&gt;35,BD62+BC63-BL62,IF(A63&lt;'Données projet'!$A$88,$BA$205^A63,IF(A63='Données projet'!$A$88,'Données projet'!$B$88,BD62+BC63-BL62)))</f>
        <v>293.99999999999989</v>
      </c>
      <c r="BE63" s="13">
        <f>BD63*VLOOKUP('Données projet'!$B$11,Paramètres!$A$1:$I$89,3,0)*VLOOKUP('Données projet'!$B$11,Paramètres!$A$1:$I$89,5,0)</f>
        <v>233.90639999999991</v>
      </c>
      <c r="BF63" s="13">
        <f t="shared" si="37"/>
        <v>57.126506840778347</v>
      </c>
      <c r="BG63" s="20">
        <f t="shared" si="7"/>
        <v>506.88231274768879</v>
      </c>
      <c r="BH63" s="59">
        <f t="shared" si="8"/>
        <v>800.2156460810221</v>
      </c>
      <c r="BI63" s="59">
        <f ca="1">AVERAGE(OFFSET($BH$3,0,0,'Données projet'!$E$11+1,1))-AVERAGE(OFFSET($H$3,0,0,'Données projet'!$E$11+1,1))</f>
        <v>279.49721661620544</v>
      </c>
      <c r="BJ63" s="59">
        <f t="shared" si="38"/>
        <v>275.18739333988754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14</v>
      </c>
      <c r="BM63" s="16">
        <f>IF(ISNA(VLOOKUP(A63,'Données projet'!$A$87:$I$107,5,0)),0%,VLOOKUP(A63,'Données projet'!$A$87:$I$107,5,0)*VLOOKUP('Données projet'!$B$11,Paramètres!$A$1:$I$89,7,0))</f>
        <v>0.53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49.781987275783123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49.781987275783123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245</v>
      </c>
      <c r="BW63" s="12">
        <f>VLOOKUP(A63,'Données projet'!$A$113:$I$133,9,0)</f>
        <v>5.2</v>
      </c>
      <c r="BX63" s="12">
        <f t="array" ref="BX63">INDEX(BW:BW,MIN(IF(ISNUMBER(BW63:BW259),ROW(BW63:BW259),"")))</f>
        <v>5.2</v>
      </c>
      <c r="BY63" s="12">
        <f>IF('Données projet'!$A$114&gt;35,BY62+BX63-CG62,IF(A63&lt;'Données projet'!$A$114,$BV$205^A63,IF(A63='Données projet'!$A$114,'Données projet'!$B$114,BY62+BX63-CG62)))</f>
        <v>244.99999999999983</v>
      </c>
      <c r="BZ63" s="13">
        <f>BY63*VLOOKUP('Données projet'!$B$12,Paramètres!$A$1:$I$89,3,0)*VLOOKUP('Données projet'!$B$12,Paramètres!$A$1:$I$89,5,0)</f>
        <v>236.96399999999983</v>
      </c>
      <c r="CA63" s="13">
        <f t="shared" si="39"/>
        <v>57.785837100566191</v>
      </c>
      <c r="CB63" s="20">
        <f t="shared" si="10"/>
        <v>513.35596628348583</v>
      </c>
      <c r="CC63" s="59">
        <f t="shared" si="11"/>
        <v>806.6892996168192</v>
      </c>
      <c r="CD63" s="59">
        <f ca="1">AVERAGE(OFFSET($CC$3,0,0,'Données projet'!$E$12+1,1))-AVERAGE(OFFSET($H$3,0,0,'Données projet'!$E$12+1,1))</f>
        <v>281.84871057356037</v>
      </c>
      <c r="CE63" s="59">
        <f t="shared" si="40"/>
        <v>276.02211904126887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12</v>
      </c>
      <c r="CH63" s="16">
        <f>IF(ISNA(VLOOKUP(A63,'Données projet'!$A$113:$I$133,5,0)),0%,VLOOKUP(A63,'Données projet'!$A$113:$I$133,5,0)*VLOOKUP('Données projet'!$B$12,Paramètres!$A$1:$I$89,7,0))</f>
        <v>0.43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41.366896100529758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41.366896100529758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294</v>
      </c>
      <c r="CR63" s="12">
        <f>VLOOKUP(A63,'Données projet'!$A$139:$I$159,9,0)</f>
        <v>6.2</v>
      </c>
      <c r="CS63" s="12">
        <f t="array" ref="CS63">INDEX(CR:CR,MIN(IF(ISNUMBER(CR63:CR259),ROW(CR63:CR259),"")))</f>
        <v>6.2</v>
      </c>
      <c r="CT63" s="12">
        <f>IF('Données projet'!$A$140&gt;35,CT62+CS63-DB62,IF(A63&lt;'Données projet'!$A$140,$CQ$205^A63,IF(A63='Données projet'!$A$140,'Données projet'!$B$140,CT62+CS63-DB62)))</f>
        <v>293.99999999999989</v>
      </c>
      <c r="CU63" s="17">
        <f>CT63*VLOOKUP('Données projet'!$B$13,Paramètres!$A$1:$I$89,3,0)*VLOOKUP('Données projet'!$B$13,Paramètres!$A$1:$I$89,5,0)</f>
        <v>233.90639999999991</v>
      </c>
      <c r="CV63" s="13">
        <f t="shared" si="41"/>
        <v>57.126506840778347</v>
      </c>
      <c r="CW63" s="20">
        <f t="shared" si="13"/>
        <v>506.88231274768879</v>
      </c>
      <c r="CX63" s="59">
        <f t="shared" si="14"/>
        <v>800.2156460810221</v>
      </c>
      <c r="CY63" s="59">
        <f ca="1">AVERAGE(OFFSET($CX$3,0,0,'Données projet'!$E$13+1,1))-AVERAGE(OFFSET($H$3,0,0,'Données projet'!$E$13+1,1))</f>
        <v>279.49721661620544</v>
      </c>
      <c r="CZ63" s="59">
        <f t="shared" si="42"/>
        <v>275.18739333988754</v>
      </c>
      <c r="DA63" s="15">
        <f>IF(ISNA(VLOOKUP(A63,'Données projet'!$A$139:$I$159,3,0)),0,VLOOKUP(A63,'Données projet'!$A$139:$I$159,3,0))</f>
        <v>10</v>
      </c>
      <c r="DB63" s="15">
        <f>IF(ISNA(VLOOKUP(A63,'Données projet'!$A$139:$I$159,4,0)),0,VLOOKUP(A63,'Données projet'!$A$139:$I$159,4,0))</f>
        <v>14</v>
      </c>
      <c r="DC63" s="16">
        <f>IF(ISNA(VLOOKUP(A63,'Données projet'!$A$139:$I$159,5,0)),0%,VLOOKUP(A63,'Données projet'!$A$139:$I$159,5,0)*VLOOKUP('Données projet'!$B$13,Paramètres!$A$1:$I$89,7,0))</f>
        <v>0.53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49.781987275783123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49.781987275783123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214</v>
      </c>
      <c r="DM63" s="12">
        <f>VLOOKUP(A63,'Données projet'!$A$165:$I$185,9,0)</f>
        <v>7.6</v>
      </c>
      <c r="DN63" s="12">
        <f t="array" ref="DN63">INDEX(DM:DM,MIN(IF(ISNUMBER(DM63:DM259),ROW(DM63:DM259),"")))</f>
        <v>7.6</v>
      </c>
      <c r="DO63" s="12">
        <f>IF('Données projet'!$A$166&gt;35,DO62+DN63-DW62,IF(A63&lt;'Données projet'!$A$166,$DL$205^A63,IF(A63='Données projet'!$A$166,'Données projet'!$B$166,DO62+DN63-DW62)))</f>
        <v>213.99999999999997</v>
      </c>
      <c r="DP63" s="17">
        <f>DO63*VLOOKUP('Données projet'!$B$14,Paramètres!$A$1:$I$89,3,0)*VLOOKUP('Données projet'!$B$14,Paramètres!$A$1:$I$89,5,0)</f>
        <v>216.99600000000001</v>
      </c>
      <c r="DQ63" s="13">
        <f t="shared" si="43"/>
        <v>53.461459647386917</v>
      </c>
      <c r="DR63" s="20">
        <f t="shared" si="16"/>
        <v>471.04674221919896</v>
      </c>
      <c r="DS63" s="59">
        <f t="shared" si="17"/>
        <v>764.38007555253228</v>
      </c>
      <c r="DT63" s="59">
        <f ca="1">AVERAGE(OFFSET($DS$3,0,0,'Données projet'!$E$14+1,1))-AVERAGE(OFFSET($H$3,0,0,'Données projet'!$E$14+1,1))</f>
        <v>308.80022073574963</v>
      </c>
      <c r="DU63" s="59">
        <f t="shared" si="44"/>
        <v>183.96267407004115</v>
      </c>
      <c r="DV63" s="15">
        <f>IF(ISNA(VLOOKUP(A63,'Données projet'!$A$165:$I$185,3,0)),0,VLOOKUP(A63,'Données projet'!$A$165:$I$185,3,0))</f>
        <v>8</v>
      </c>
      <c r="DW63" s="15">
        <f>IF(ISNA(VLOOKUP(A63,'Données projet'!$A$165:$I$185,4,0)),0,VLOOKUP(A63,'Données projet'!$A$165:$I$185,4,0))</f>
        <v>21</v>
      </c>
      <c r="DX63" s="16">
        <f>IF(ISNA(VLOOKUP(A63,'Données projet'!$A$165:$I$185,5,0)),0%,VLOOKUP(A63,'Données projet'!$A$165:$I$185,5,0)*VLOOKUP('Données projet'!$B$14,Paramètres!$A$1:$I$89,7,0))</f>
        <v>0.43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48.095533397642946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48.095533397642946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245</v>
      </c>
      <c r="EH63" s="12">
        <f>VLOOKUP(A63,'Données projet'!$A$191:$I$211,9,0)</f>
        <v>5.2</v>
      </c>
      <c r="EI63" s="12">
        <f t="array" ref="EI63">INDEX(EH:EH,MIN(IF(ISNUMBER(EH63:EH259),ROW(EH63:EH259),"")))</f>
        <v>5.2</v>
      </c>
      <c r="EJ63" s="12">
        <f>IF('Données projet'!$A$192&gt;35,EJ62+EI63-ER62,IF(A63&lt;'Données projet'!$A$192,$EG$205^A63,IF(A63='Données projet'!$A$192,'Données projet'!$B$192,EJ62+EI63-ER62)))</f>
        <v>244.99999999999983</v>
      </c>
      <c r="EK63" s="17">
        <f>EJ63*VLOOKUP('Données projet'!$B$15,Paramètres!$A$1:$I$89,3,0)*VLOOKUP('Données projet'!$B$15,Paramètres!$A$1:$I$89,5,0)</f>
        <v>160.52399999999989</v>
      </c>
      <c r="EL63" s="13">
        <f t="shared" si="45"/>
        <v>40.960682569221547</v>
      </c>
      <c r="EM63" s="20">
        <f t="shared" si="19"/>
        <v>350.91915547472735</v>
      </c>
      <c r="EN63" s="59">
        <f t="shared" si="20"/>
        <v>644.25248880806066</v>
      </c>
      <c r="EO63" s="59">
        <f ca="1">AVERAGE(OFFSET($EN$3,0,0,'Données projet'!$E$15+1,1))-AVERAGE(OFFSET($H$3,0,0,'Données projet'!$E$15+1,1))</f>
        <v>178.71569711875242</v>
      </c>
      <c r="EP63" s="59">
        <f t="shared" si="46"/>
        <v>178.13848582064168</v>
      </c>
      <c r="EQ63" s="15">
        <f>IF(ISNA(VLOOKUP(A63,'Données projet'!$A$191:$I$211,3,0)),0,VLOOKUP(A63,'Données projet'!$A$191:$I$211,3,0))</f>
        <v>10</v>
      </c>
      <c r="ER63" s="15">
        <f>IF(ISNA(VLOOKUP(A63,'Données projet'!$A$191:$I$211,4,0)),0,VLOOKUP(A63,'Données projet'!$A$191:$I$211,4,0))</f>
        <v>12</v>
      </c>
      <c r="ES63" s="16">
        <f>IF(ISNA(VLOOKUP(A63,'Données projet'!$A$191:$I$211,5,0)),0%,VLOOKUP(A63,'Données projet'!$A$191:$I$211,5,0)*VLOOKUP('Données projet'!$B$15,Paramètres!$A$1:$I$89,7,0))</f>
        <v>0.43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28.022736068100805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28.022736068100805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214</v>
      </c>
      <c r="FC63" s="12">
        <f>VLOOKUP(A63,'Données projet'!$A$217:$I$237,9,0)</f>
        <v>7.6</v>
      </c>
      <c r="FD63" s="12">
        <f t="array" ref="FD63">INDEX(FC:FC,MIN(IF(ISNUMBER(FC63:FC259),ROW(FC63:FC259),"")))</f>
        <v>7.6</v>
      </c>
      <c r="FE63" s="12">
        <f>IF('Données projet'!$A$218&gt;35,FE62+FD63-FM62,IF(A63&lt;'Données projet'!$A$218,$FB$205^A63,IF(A63='Données projet'!$A$218,'Données projet'!$B$218,FE62+FD63-FM62)))</f>
        <v>213.99999999999997</v>
      </c>
      <c r="FF63" s="17">
        <f>FE63*VLOOKUP('Données projet'!$B$16,Paramètres!$A$1:$I$89,3,0)*VLOOKUP('Données projet'!$B$16,Paramètres!$A$1:$I$89,5,0)</f>
        <v>180.27359999999999</v>
      </c>
      <c r="FG63" s="13">
        <f t="shared" si="47"/>
        <v>45.383051743938047</v>
      </c>
      <c r="FH63" s="20">
        <f t="shared" si="22"/>
        <v>393.01866845402537</v>
      </c>
      <c r="FI63" s="59">
        <f t="shared" si="23"/>
        <v>686.35200178735863</v>
      </c>
      <c r="FJ63" s="59">
        <f ca="1">AVERAGE(OFFSET($FI$3,0,0,'Données projet'!$E$16+1,1))-AVERAGE(OFFSET($H$3,0,0,'Données projet'!$E$16+1,1))</f>
        <v>247.22536892257716</v>
      </c>
      <c r="FK63" s="59">
        <f t="shared" si="48"/>
        <v>147.97952262756075</v>
      </c>
      <c r="FL63" s="15">
        <f>IF(ISNA(VLOOKUP(A63,'Données projet'!$A$217:$I$237,3,0)),0,VLOOKUP(A63,'Données projet'!$A$217:$I$237,3,0))</f>
        <v>8</v>
      </c>
      <c r="FM63" s="15">
        <f>IF(ISNA(VLOOKUP(A63,'Données projet'!$A$217:$I$237,4,0)),0,VLOOKUP(A63,'Données projet'!$A$217:$I$237,4,0))</f>
        <v>21</v>
      </c>
      <c r="FN63" s="16">
        <f>IF(ISNA(VLOOKUP(A63,'Données projet'!$A$217:$I$237,5,0)),0%,VLOOKUP(A63,'Données projet'!$A$217:$I$237,5,0)*VLOOKUP('Données projet'!$B$16,Paramètres!$A$1:$I$89,7,0))</f>
        <v>0.43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39.956289284195677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39.956289284195677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6">
        <f t="shared" si="1"/>
        <v>360.32755232166795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6</v>
      </c>
      <c r="N64" s="13">
        <f>IF('Données projet'!$A$36&gt;35,N63+M64-V63,IF(A64&lt;'Données projet'!$A$36,$K$205^A64,IF(A64='Données projet'!$A$36,'Données projet'!$B$36,N63+M64-V63)))</f>
        <v>222.00000000000026</v>
      </c>
      <c r="O64" s="13">
        <f>N64*VLOOKUP('Données projet'!$B$9,Paramètres!$A$1:$I$89,3,0)*VLOOKUP('Données projet'!$B$9,Paramètres!$A$1:$I$89,5,0)</f>
        <v>193.93920000000023</v>
      </c>
      <c r="P64" s="13">
        <f t="shared" si="33"/>
        <v>48.409811198069427</v>
      </c>
      <c r="Q64" s="20">
        <f t="shared" si="53"/>
        <v>422.09119450330468</v>
      </c>
      <c r="R64" s="59">
        <f t="shared" si="0"/>
        <v>715.42452783663794</v>
      </c>
      <c r="S64" s="59">
        <f ca="1">AVERAGE(OFFSET($R$3,0,0,'Données projet'!$E$9+1,1))-AVERAGE(OFFSET($H$3,0,0,'Données projet'!$E$9+1,1))</f>
        <v>253.73326067725128</v>
      </c>
      <c r="T64" s="59">
        <f t="shared" si="34"/>
        <v>317.76427047458026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64.296897744545106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64.296897744545106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19.2</v>
      </c>
      <c r="AI64" s="13">
        <f>IF('Données projet'!$A$62&gt;35,AI63+AH64-AQ63,IF(A64&lt;'Données projet'!$A$62,$AF$205^A64,IF(A64='Données projet'!$A$62,'Données projet'!$B$62,AI63+AH64-AQ63)))</f>
        <v>594.19999999999993</v>
      </c>
      <c r="AJ64" s="13">
        <f>AI64*VLOOKUP('Données projet'!$B$10,Paramètres!$A$1:$I$89,3,0)*VLOOKUP('Données projet'!$B$10,Paramètres!$A$1:$I$89,5,0)</f>
        <v>285.81020000000001</v>
      </c>
      <c r="AK64" s="13">
        <f t="shared" si="35"/>
        <v>68.193399612380489</v>
      </c>
      <c r="AL64" s="20">
        <f t="shared" si="4"/>
        <v>616.55626932489611</v>
      </c>
      <c r="AM64" s="59">
        <f t="shared" si="5"/>
        <v>909.88960265822948</v>
      </c>
      <c r="AN64" s="59">
        <f ca="1">AVERAGE(OFFSET($AM$3,0,0,'Données projet'!$E$10+1,1))-AVERAGE(OFFSET($H$3,0,0,'Données projet'!$E$10+1,1))</f>
        <v>349.65790906807746</v>
      </c>
      <c r="AO64" s="59">
        <f t="shared" si="36"/>
        <v>291.88925884278888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99.89646085476123</v>
      </c>
      <c r="AV64" s="21">
        <f>EXP(-LN(2)/25)*AV63+(1-EXP(-LN(2)/25))/(LN(2)/25)*Calculateur!AQ64*Calculateur!AS64*VLOOKUP('Données projet'!$B$10,Paramètres!$A$1:$I$89,3,0)*0.475*44/12</f>
        <v>17.440365056032576</v>
      </c>
      <c r="AW64" s="21">
        <f>EXP(-LN(2)/2)*AW63+(1-EXP(-LN(2)/2))/(LN(2)/2)*AQ64*AT64*VLOOKUP('Données projet'!$B$10,Paramètres!$A$1:$I$89,3,0)*0.475*44/12</f>
        <v>1.1017598938635811E-6</v>
      </c>
      <c r="AX64" s="21">
        <f t="shared" si="6"/>
        <v>117.3368270125537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5.2</v>
      </c>
      <c r="BD64" s="12">
        <f>IF('Données projet'!$A$88&gt;35,BD63+BC64-BL63,IF(A64&lt;'Données projet'!$A$88,$BA$205^A64,IF(A64='Données projet'!$A$88,'Données projet'!$B$88,BD63+BC64-BL63)))</f>
        <v>285.19999999999987</v>
      </c>
      <c r="BE64" s="13">
        <f>BD64*VLOOKUP('Données projet'!$B$11,Paramètres!$A$1:$I$89,3,0)*VLOOKUP('Données projet'!$B$11,Paramètres!$A$1:$I$89,5,0)</f>
        <v>226.90511999999993</v>
      </c>
      <c r="BF64" s="13">
        <f t="shared" si="37"/>
        <v>55.612969408444364</v>
      </c>
      <c r="BG64" s="20">
        <f t="shared" si="7"/>
        <v>492.05233905304044</v>
      </c>
      <c r="BH64" s="59">
        <f t="shared" si="8"/>
        <v>785.3856723863737</v>
      </c>
      <c r="BI64" s="59">
        <f ca="1">AVERAGE(OFFSET($BH$3,0,0,'Données projet'!$E$11+1,1))-AVERAGE(OFFSET($H$3,0,0,'Données projet'!$E$11+1,1))</f>
        <v>279.49721661620544</v>
      </c>
      <c r="BJ64" s="59">
        <f t="shared" si="38"/>
        <v>275.18739333988754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48.805792869319056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48.805792869319056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4.4000000000000004</v>
      </c>
      <c r="BY64" s="12">
        <f>IF('Données projet'!$A$114&gt;35,BY63+BX64-CG63,IF(A64&lt;'Données projet'!$A$114,$BV$205^A64,IF(A64='Données projet'!$A$114,'Données projet'!$B$114,BY63+BX64-CG63)))</f>
        <v>237.39999999999984</v>
      </c>
      <c r="BZ64" s="13">
        <f>BY64*VLOOKUP('Données projet'!$B$12,Paramètres!$A$1:$I$89,3,0)*VLOOKUP('Données projet'!$B$12,Paramètres!$A$1:$I$89,5,0)</f>
        <v>229.61327999999986</v>
      </c>
      <c r="CA64" s="13">
        <f t="shared" si="39"/>
        <v>56.199055437906189</v>
      </c>
      <c r="CB64" s="20">
        <f t="shared" si="10"/>
        <v>497.78981755435296</v>
      </c>
      <c r="CC64" s="59">
        <f t="shared" si="11"/>
        <v>791.12315088768628</v>
      </c>
      <c r="CD64" s="59">
        <f ca="1">AVERAGE(OFFSET($CC$3,0,0,'Données projet'!$E$12+1,1))-AVERAGE(OFFSET($H$3,0,0,'Données projet'!$E$12+1,1))</f>
        <v>281.84871057356037</v>
      </c>
      <c r="CE64" s="59">
        <f t="shared" si="40"/>
        <v>276.02211904126887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40.555716499313604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40.555716499313604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5.2</v>
      </c>
      <c r="CT64" s="12">
        <f>IF('Données projet'!$A$140&gt;35,CT63+CS64-DB63,IF(A64&lt;'Données projet'!$A$140,$CQ$205^A64,IF(A64='Données projet'!$A$140,'Données projet'!$B$140,CT63+CS64-DB63)))</f>
        <v>285.19999999999987</v>
      </c>
      <c r="CU64" s="17">
        <f>CT64*VLOOKUP('Données projet'!$B$13,Paramètres!$A$1:$I$89,3,0)*VLOOKUP('Données projet'!$B$13,Paramètres!$A$1:$I$89,5,0)</f>
        <v>226.90511999999993</v>
      </c>
      <c r="CV64" s="13">
        <f t="shared" si="41"/>
        <v>55.612969408444364</v>
      </c>
      <c r="CW64" s="20">
        <f t="shared" si="13"/>
        <v>492.05233905304044</v>
      </c>
      <c r="CX64" s="59">
        <f t="shared" si="14"/>
        <v>785.3856723863737</v>
      </c>
      <c r="CY64" s="59">
        <f ca="1">AVERAGE(OFFSET($CX$3,0,0,'Données projet'!$E$13+1,1))-AVERAGE(OFFSET($H$3,0,0,'Données projet'!$E$13+1,1))</f>
        <v>279.49721661620544</v>
      </c>
      <c r="CZ64" s="59">
        <f t="shared" si="42"/>
        <v>275.18739333988754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48.805792869319056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48.805792869319056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7.2</v>
      </c>
      <c r="DO64" s="12">
        <f>IF('Données projet'!$A$166&gt;35,DO63+DN64-DW63,IF(A64&lt;'Données projet'!$A$166,$DL$205^A64,IF(A64='Données projet'!$A$166,'Données projet'!$B$166,DO63+DN64-DW63)))</f>
        <v>200.19999999999996</v>
      </c>
      <c r="DP64" s="17">
        <f>DO64*VLOOKUP('Données projet'!$B$14,Paramètres!$A$1:$I$89,3,0)*VLOOKUP('Données projet'!$B$14,Paramètres!$A$1:$I$89,5,0)</f>
        <v>203.00279999999995</v>
      </c>
      <c r="DQ64" s="13">
        <f t="shared" si="43"/>
        <v>50.403518824343074</v>
      </c>
      <c r="DR64" s="20">
        <f t="shared" si="16"/>
        <v>441.3493386190641</v>
      </c>
      <c r="DS64" s="59">
        <f t="shared" si="17"/>
        <v>734.68267195239741</v>
      </c>
      <c r="DT64" s="59">
        <f ca="1">AVERAGE(OFFSET($DS$3,0,0,'Données projet'!$E$14+1,1))-AVERAGE(OFFSET($H$3,0,0,'Données projet'!$E$14+1,1))</f>
        <v>308.80022073574963</v>
      </c>
      <c r="DU64" s="59">
        <f t="shared" si="44"/>
        <v>183.96267407004115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47.152409323093913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47.152409323093913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4.4000000000000004</v>
      </c>
      <c r="EJ64" s="12">
        <f>IF('Données projet'!$A$192&gt;35,EJ63+EI64-ER63,IF(A64&lt;'Données projet'!$A$192,$EG$205^A64,IF(A64='Données projet'!$A$192,'Données projet'!$B$192,EJ63+EI64-ER63)))</f>
        <v>237.39999999999984</v>
      </c>
      <c r="EK64" s="17">
        <f>EJ64*VLOOKUP('Données projet'!$B$15,Paramètres!$A$1:$I$89,3,0)*VLOOKUP('Données projet'!$B$15,Paramètres!$A$1:$I$89,5,0)</f>
        <v>155.54447999999988</v>
      </c>
      <c r="EL64" s="13">
        <f t="shared" si="45"/>
        <v>39.835914576715631</v>
      </c>
      <c r="EM64" s="20">
        <f t="shared" si="19"/>
        <v>340.28752055444613</v>
      </c>
      <c r="EN64" s="59">
        <f t="shared" si="20"/>
        <v>633.6208538877795</v>
      </c>
      <c r="EO64" s="59">
        <f ca="1">AVERAGE(OFFSET($EN$3,0,0,'Données projet'!$E$15+1,1))-AVERAGE(OFFSET($H$3,0,0,'Données projet'!$E$15+1,1))</f>
        <v>178.71569711875242</v>
      </c>
      <c r="EP64" s="59">
        <f t="shared" si="46"/>
        <v>178.13848582064168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27.473227305986637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27.473227305986637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7.2</v>
      </c>
      <c r="FE64" s="12">
        <f>IF('Données projet'!$A$218&gt;35,FE63+FD64-FM63,IF(A64&lt;'Données projet'!$A$218,$FB$205^A64,IF(A64='Données projet'!$A$218,'Données projet'!$B$218,FE63+FD64-FM63)))</f>
        <v>200.19999999999996</v>
      </c>
      <c r="FF64" s="17">
        <f>FE64*VLOOKUP('Données projet'!$B$16,Paramètres!$A$1:$I$89,3,0)*VLOOKUP('Données projet'!$B$16,Paramètres!$A$1:$I$89,5,0)</f>
        <v>168.64847999999998</v>
      </c>
      <c r="FG64" s="13">
        <f t="shared" si="47"/>
        <v>42.78718759212785</v>
      </c>
      <c r="FH64" s="20">
        <f t="shared" si="22"/>
        <v>368.25045438962269</v>
      </c>
      <c r="FI64" s="59">
        <f t="shared" si="23"/>
        <v>661.583787722956</v>
      </c>
      <c r="FJ64" s="59">
        <f ca="1">AVERAGE(OFFSET($FI$3,0,0,'Données projet'!$E$16+1,1))-AVERAGE(OFFSET($H$3,0,0,'Données projet'!$E$16+1,1))</f>
        <v>247.22536892257716</v>
      </c>
      <c r="FK64" s="59">
        <f t="shared" si="48"/>
        <v>147.97952262756075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39.172770822262635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39.172770822262635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6">
        <f t="shared" si="1"/>
        <v>361.39527488339854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6</v>
      </c>
      <c r="N65" s="13">
        <f>IF('Données projet'!$A$36&gt;35,N64+M65-V64,IF(A65&lt;'Données projet'!$A$36,$K$205^A65,IF(A65='Données projet'!$A$36,'Données projet'!$B$36,N64+M65-V64)))</f>
        <v>228.00000000000026</v>
      </c>
      <c r="O65" s="13">
        <f>N65*VLOOKUP('Données projet'!$B$9,Paramètres!$A$1:$I$89,3,0)*VLOOKUP('Données projet'!$B$9,Paramètres!$A$1:$I$89,5,0)</f>
        <v>199.18080000000023</v>
      </c>
      <c r="P65" s="13">
        <f t="shared" si="33"/>
        <v>49.564089376413726</v>
      </c>
      <c r="Q65" s="20">
        <f t="shared" si="53"/>
        <v>433.23068233058763</v>
      </c>
      <c r="R65" s="59">
        <f t="shared" si="0"/>
        <v>726.56401566392094</v>
      </c>
      <c r="S65" s="59">
        <f ca="1">AVERAGE(OFFSET($R$3,0,0,'Données projet'!$E$9+1,1))-AVERAGE(OFFSET($H$3,0,0,'Données projet'!$E$9+1,1))</f>
        <v>253.73326067725128</v>
      </c>
      <c r="T65" s="59">
        <f t="shared" si="34"/>
        <v>317.76427047458026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63.036074797009817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63.036074797009817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19.2</v>
      </c>
      <c r="AI65" s="13">
        <f>IF('Données projet'!$A$62&gt;35,AI64+AH65-AQ64,IF(A65&lt;'Données projet'!$A$62,$AF$205^A65,IF(A65='Données projet'!$A$62,'Données projet'!$B$62,AI64+AH65-AQ64)))</f>
        <v>613.4</v>
      </c>
      <c r="AJ65" s="13">
        <f>AI65*VLOOKUP('Données projet'!$B$10,Paramètres!$A$1:$I$89,3,0)*VLOOKUP('Données projet'!$B$10,Paramètres!$A$1:$I$89,5,0)</f>
        <v>295.04540000000003</v>
      </c>
      <c r="AK65" s="13">
        <f t="shared" si="35"/>
        <v>70.136784451359162</v>
      </c>
      <c r="AL65" s="20">
        <f t="shared" si="4"/>
        <v>636.02563791945056</v>
      </c>
      <c r="AM65" s="59">
        <f t="shared" si="5"/>
        <v>929.35897125278393</v>
      </c>
      <c r="AN65" s="59">
        <f ca="1">AVERAGE(OFFSET($AM$3,0,0,'Données projet'!$E$10+1,1))-AVERAGE(OFFSET($H$3,0,0,'Données projet'!$E$10+1,1))</f>
        <v>349.65790906807746</v>
      </c>
      <c r="AO65" s="59">
        <f t="shared" si="36"/>
        <v>291.88925884278888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97.937552188224061</v>
      </c>
      <c r="AV65" s="21">
        <f>EXP(-LN(2)/25)*AV64+(1-EXP(-LN(2)/25))/(LN(2)/25)*Calculateur!AQ65*Calculateur!AS65*VLOOKUP('Données projet'!$B$10,Paramètres!$A$1:$I$89,3,0)*0.475*44/12</f>
        <v>16.963457356426428</v>
      </c>
      <c r="AW65" s="21">
        <f>EXP(-LN(2)/2)*AW64+(1-EXP(-LN(2)/2))/(LN(2)/2)*AQ65*AT65*VLOOKUP('Données projet'!$B$10,Paramètres!$A$1:$I$89,3,0)*0.475*44/12</f>
        <v>7.7906189219030906E-7</v>
      </c>
      <c r="AX65" s="21">
        <f t="shared" si="6"/>
        <v>114.90101032371238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5.2</v>
      </c>
      <c r="BD65" s="12">
        <f>IF('Données projet'!$A$88&gt;35,BD64+BC65-BL64,IF(A65&lt;'Données projet'!$A$88,$BA$205^A65,IF(A65='Données projet'!$A$88,'Données projet'!$B$88,BD64+BC65-BL64)))</f>
        <v>290.39999999999986</v>
      </c>
      <c r="BE65" s="13">
        <f>BD65*VLOOKUP('Données projet'!$B$11,Paramètres!$A$1:$I$89,3,0)*VLOOKUP('Données projet'!$B$11,Paramètres!$A$1:$I$89,5,0)</f>
        <v>231.04223999999991</v>
      </c>
      <c r="BF65" s="13">
        <f t="shared" si="37"/>
        <v>56.507978852931409</v>
      </c>
      <c r="BG65" s="20">
        <f t="shared" si="7"/>
        <v>500.81663116885539</v>
      </c>
      <c r="BH65" s="59">
        <f t="shared" si="8"/>
        <v>794.14996450218871</v>
      </c>
      <c r="BI65" s="59">
        <f ca="1">AVERAGE(OFFSET($BH$3,0,0,'Données projet'!$E$11+1,1))-AVERAGE(OFFSET($H$3,0,0,'Données projet'!$E$11+1,1))</f>
        <v>279.49721661620544</v>
      </c>
      <c r="BJ65" s="59">
        <f t="shared" si="38"/>
        <v>275.18739333988754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47.848741039745953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47.848741039745953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4.4000000000000004</v>
      </c>
      <c r="BY65" s="12">
        <f>IF('Données projet'!$A$114&gt;35,BY64+BX65-CG64,IF(A65&lt;'Données projet'!$A$114,$BV$205^A65,IF(A65='Données projet'!$A$114,'Données projet'!$B$114,BY64+BX65-CG64)))</f>
        <v>241.79999999999984</v>
      </c>
      <c r="BZ65" s="13">
        <f>BY65*VLOOKUP('Données projet'!$B$12,Paramètres!$A$1:$I$89,3,0)*VLOOKUP('Données projet'!$B$12,Paramètres!$A$1:$I$89,5,0)</f>
        <v>233.86895999999987</v>
      </c>
      <c r="CA65" s="13">
        <f t="shared" si="39"/>
        <v>57.118427216656315</v>
      </c>
      <c r="CB65" s="20">
        <f t="shared" si="10"/>
        <v>506.8030327356762</v>
      </c>
      <c r="CC65" s="59">
        <f t="shared" si="11"/>
        <v>800.13636606900945</v>
      </c>
      <c r="CD65" s="59">
        <f ca="1">AVERAGE(OFFSET($CC$3,0,0,'Données projet'!$E$12+1,1))-AVERAGE(OFFSET($H$3,0,0,'Données projet'!$E$12+1,1))</f>
        <v>281.84871057356037</v>
      </c>
      <c r="CE65" s="59">
        <f t="shared" si="40"/>
        <v>276.02211904126887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39.760443635306601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39.760443635306601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5.2</v>
      </c>
      <c r="CT65" s="12">
        <f>IF('Données projet'!$A$140&gt;35,CT64+CS65-DB64,IF(A65&lt;'Données projet'!$A$140,$CQ$205^A65,IF(A65='Données projet'!$A$140,'Données projet'!$B$140,CT64+CS65-DB64)))</f>
        <v>290.39999999999986</v>
      </c>
      <c r="CU65" s="17">
        <f>CT65*VLOOKUP('Données projet'!$B$13,Paramètres!$A$1:$I$89,3,0)*VLOOKUP('Données projet'!$B$13,Paramètres!$A$1:$I$89,5,0)</f>
        <v>231.04223999999991</v>
      </c>
      <c r="CV65" s="13">
        <f t="shared" si="41"/>
        <v>56.507978852931409</v>
      </c>
      <c r="CW65" s="20">
        <f t="shared" si="13"/>
        <v>500.81663116885539</v>
      </c>
      <c r="CX65" s="59">
        <f t="shared" si="14"/>
        <v>794.14996450218871</v>
      </c>
      <c r="CY65" s="59">
        <f ca="1">AVERAGE(OFFSET($CX$3,0,0,'Données projet'!$E$13+1,1))-AVERAGE(OFFSET($H$3,0,0,'Données projet'!$E$13+1,1))</f>
        <v>279.49721661620544</v>
      </c>
      <c r="CZ65" s="59">
        <f t="shared" si="42"/>
        <v>275.18739333988754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47.848741039745953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47.848741039745953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7.2</v>
      </c>
      <c r="DO65" s="12">
        <f>IF('Données projet'!$A$166&gt;35,DO64+DN65-DW64,IF(A65&lt;'Données projet'!$A$166,$DL$205^A65,IF(A65='Données projet'!$A$166,'Données projet'!$B$166,DO64+DN65-DW64)))</f>
        <v>207.39999999999995</v>
      </c>
      <c r="DP65" s="17">
        <f>DO65*VLOOKUP('Données projet'!$B$14,Paramètres!$A$1:$I$89,3,0)*VLOOKUP('Données projet'!$B$14,Paramètres!$A$1:$I$89,5,0)</f>
        <v>210.30359999999996</v>
      </c>
      <c r="DQ65" s="13">
        <f t="shared" si="43"/>
        <v>52.001924357524459</v>
      </c>
      <c r="DR65" s="20">
        <f t="shared" si="16"/>
        <v>456.84878825602163</v>
      </c>
      <c r="DS65" s="59">
        <f t="shared" si="17"/>
        <v>750.18212158935489</v>
      </c>
      <c r="DT65" s="59">
        <f ca="1">AVERAGE(OFFSET($DS$3,0,0,'Données projet'!$E$14+1,1))-AVERAGE(OFFSET($H$3,0,0,'Données projet'!$E$14+1,1))</f>
        <v>308.80022073574963</v>
      </c>
      <c r="DU65" s="59">
        <f t="shared" si="44"/>
        <v>183.96267407004115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46.227779336397901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46.227779336397901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4.4000000000000004</v>
      </c>
      <c r="EJ65" s="12">
        <f>IF('Données projet'!$A$192&gt;35,EJ64+EI65-ER64,IF(A65&lt;'Données projet'!$A$192,$EG$205^A65,IF(A65='Données projet'!$A$192,'Données projet'!$B$192,EJ64+EI65-ER64)))</f>
        <v>241.79999999999984</v>
      </c>
      <c r="EK65" s="17">
        <f>EJ65*VLOOKUP('Données projet'!$B$15,Paramètres!$A$1:$I$89,3,0)*VLOOKUP('Données projet'!$B$15,Paramètres!$A$1:$I$89,5,0)</f>
        <v>158.42735999999988</v>
      </c>
      <c r="EL65" s="13">
        <f t="shared" si="45"/>
        <v>40.487598405868212</v>
      </c>
      <c r="EM65" s="20">
        <f t="shared" si="19"/>
        <v>346.44355255688691</v>
      </c>
      <c r="EN65" s="59">
        <f t="shared" si="20"/>
        <v>639.77688589022023</v>
      </c>
      <c r="EO65" s="59">
        <f ca="1">AVERAGE(OFFSET($EN$3,0,0,'Données projet'!$E$15+1,1))-AVERAGE(OFFSET($H$3,0,0,'Données projet'!$E$15+1,1))</f>
        <v>178.71569711875242</v>
      </c>
      <c r="EP65" s="59">
        <f t="shared" si="46"/>
        <v>178.13848582064168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26.934494075530278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26.934494075530278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7.2</v>
      </c>
      <c r="FE65" s="12">
        <f>IF('Données projet'!$A$218&gt;35,FE64+FD65-FM64,IF(A65&lt;'Données projet'!$A$218,$FB$205^A65,IF(A65='Données projet'!$A$218,'Données projet'!$B$218,FE64+FD65-FM64)))</f>
        <v>207.39999999999995</v>
      </c>
      <c r="FF65" s="17">
        <f>FE65*VLOOKUP('Données projet'!$B$16,Paramètres!$A$1:$I$89,3,0)*VLOOKUP('Données projet'!$B$16,Paramètres!$A$1:$I$89,5,0)</f>
        <v>174.71375999999998</v>
      </c>
      <c r="FG65" s="13">
        <f t="shared" si="47"/>
        <v>44.144062647515817</v>
      </c>
      <c r="FH65" s="20">
        <f t="shared" si="22"/>
        <v>381.17737444442332</v>
      </c>
      <c r="FI65" s="59">
        <f t="shared" si="23"/>
        <v>674.51070777775658</v>
      </c>
      <c r="FJ65" s="59">
        <f ca="1">AVERAGE(OFFSET($FI$3,0,0,'Données projet'!$E$16+1,1))-AVERAGE(OFFSET($H$3,0,0,'Données projet'!$E$16+1,1))</f>
        <v>247.22536892257716</v>
      </c>
      <c r="FK65" s="59">
        <f t="shared" si="48"/>
        <v>147.97952262756075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38.404616679469022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38.404616679469022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6">
        <f t="shared" si="1"/>
        <v>362.46256605982404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6</v>
      </c>
      <c r="N66" s="13">
        <f>IF('Données projet'!$A$36&gt;35,N65+M66-V65,IF(A66&lt;'Données projet'!$A$36,$K$205^A66,IF(A66='Données projet'!$A$36,'Données projet'!$B$36,N65+M66-V65)))</f>
        <v>234.00000000000026</v>
      </c>
      <c r="O66" s="13">
        <f>N66*VLOOKUP('Données projet'!$B$9,Paramètres!$A$1:$I$89,3,0)*VLOOKUP('Données projet'!$B$9,Paramètres!$A$1:$I$89,5,0)</f>
        <v>204.42240000000027</v>
      </c>
      <c r="P66" s="13">
        <f t="shared" si="33"/>
        <v>50.714836797527354</v>
      </c>
      <c r="Q66" s="20">
        <f t="shared" si="53"/>
        <v>444.36402075569396</v>
      </c>
      <c r="R66" s="59">
        <f t="shared" si="0"/>
        <v>737.69735408902727</v>
      </c>
      <c r="S66" s="59">
        <f ca="1">AVERAGE(OFFSET($R$3,0,0,'Données projet'!$E$9+1,1))-AVERAGE(OFFSET($H$3,0,0,'Données projet'!$E$9+1,1))</f>
        <v>253.73326067725128</v>
      </c>
      <c r="T66" s="59">
        <f t="shared" si="34"/>
        <v>317.76427047458026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61.799975818449639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61.799975818449639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19.2</v>
      </c>
      <c r="AI66" s="13">
        <f>IF('Données projet'!$A$62&gt;35,AI65+AH66-AQ65,IF(A66&lt;'Données projet'!$A$62,$AF$205^A66,IF(A66='Données projet'!$A$62,'Données projet'!$B$62,AI65+AH66-AQ65)))</f>
        <v>632.6</v>
      </c>
      <c r="AJ66" s="13">
        <f>AI66*VLOOKUP('Données projet'!$B$10,Paramètres!$A$1:$I$89,3,0)*VLOOKUP('Données projet'!$B$10,Paramètres!$A$1:$I$89,5,0)</f>
        <v>304.28060000000005</v>
      </c>
      <c r="AK66" s="13">
        <f t="shared" si="35"/>
        <v>72.073100367212803</v>
      </c>
      <c r="AL66" s="20">
        <f t="shared" si="4"/>
        <v>655.48269480622912</v>
      </c>
      <c r="AM66" s="59">
        <f t="shared" si="5"/>
        <v>948.81602813956238</v>
      </c>
      <c r="AN66" s="59">
        <f ca="1">AVERAGE(OFFSET($AM$3,0,0,'Données projet'!$E$10+1,1))-AVERAGE(OFFSET($H$3,0,0,'Données projet'!$E$10+1,1))</f>
        <v>349.65790906807746</v>
      </c>
      <c r="AO66" s="59">
        <f t="shared" si="36"/>
        <v>291.88925884278888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96.017056525821374</v>
      </c>
      <c r="AV66" s="21">
        <f>EXP(-LN(2)/25)*AV65+(1-EXP(-LN(2)/25))/(LN(2)/25)*Calculateur!AQ66*Calculateur!AS66*VLOOKUP('Données projet'!$B$10,Paramètres!$A$1:$I$89,3,0)*0.475*44/12</f>
        <v>16.499590722945495</v>
      </c>
      <c r="AW66" s="21">
        <f>EXP(-LN(2)/2)*AW65+(1-EXP(-LN(2)/2))/(LN(2)/2)*AQ66*AT66*VLOOKUP('Données projet'!$B$10,Paramètres!$A$1:$I$89,3,0)*0.475*44/12</f>
        <v>5.5087994693179054E-7</v>
      </c>
      <c r="AX66" s="21">
        <f t="shared" si="6"/>
        <v>112.51664779964682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5.2</v>
      </c>
      <c r="BD66" s="12">
        <f>IF('Données projet'!$A$88&gt;35,BD65+BC66-BL65,IF(A66&lt;'Données projet'!$A$88,$BA$205^A66,IF(A66='Données projet'!$A$88,'Données projet'!$B$88,BD65+BC66-BL65)))</f>
        <v>295.59999999999985</v>
      </c>
      <c r="BE66" s="13">
        <f>BD66*VLOOKUP('Données projet'!$B$11,Paramètres!$A$1:$I$89,3,0)*VLOOKUP('Données projet'!$B$11,Paramètres!$A$1:$I$89,5,0)</f>
        <v>235.17935999999989</v>
      </c>
      <c r="BF66" s="13">
        <f t="shared" si="37"/>
        <v>57.401124668909425</v>
      </c>
      <c r="BG66" s="20">
        <f t="shared" si="7"/>
        <v>509.57767746501708</v>
      </c>
      <c r="BH66" s="59">
        <f t="shared" si="8"/>
        <v>802.91101079835039</v>
      </c>
      <c r="BI66" s="59">
        <f ca="1">AVERAGE(OFFSET($BH$3,0,0,'Données projet'!$E$11+1,1))-AVERAGE(OFFSET($H$3,0,0,'Données projet'!$E$11+1,1))</f>
        <v>279.49721661620544</v>
      </c>
      <c r="BJ66" s="59">
        <f t="shared" si="38"/>
        <v>275.18739333988754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46.910456412806802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46.910456412806802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4.4000000000000004</v>
      </c>
      <c r="BY66" s="12">
        <f>IF('Données projet'!$A$114&gt;35,BY65+BX66-CG65,IF(A66&lt;'Données projet'!$A$114,$BV$205^A66,IF(A66='Données projet'!$A$114,'Données projet'!$B$114,BY65+BX66-CG65)))</f>
        <v>246.19999999999985</v>
      </c>
      <c r="BZ66" s="13">
        <f>BY66*VLOOKUP('Données projet'!$B$12,Paramètres!$A$1:$I$89,3,0)*VLOOKUP('Données projet'!$B$12,Paramètres!$A$1:$I$89,5,0)</f>
        <v>238.12463999999983</v>
      </c>
      <c r="CA66" s="13">
        <f t="shared" si="39"/>
        <v>58.035853608422748</v>
      </c>
      <c r="CB66" s="20">
        <f t="shared" si="10"/>
        <v>515.81285970133592</v>
      </c>
      <c r="CC66" s="59">
        <f t="shared" si="11"/>
        <v>809.1461930346693</v>
      </c>
      <c r="CD66" s="59">
        <f ca="1">AVERAGE(OFFSET($CC$3,0,0,'Données projet'!$E$12+1,1))-AVERAGE(OFFSET($H$3,0,0,'Données projet'!$E$12+1,1))</f>
        <v>281.84871057356037</v>
      </c>
      <c r="CE66" s="59">
        <f t="shared" si="40"/>
        <v>276.02211904126887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38.980765587094218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38.980765587094218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5.2</v>
      </c>
      <c r="CT66" s="12">
        <f>IF('Données projet'!$A$140&gt;35,CT65+CS66-DB65,IF(A66&lt;'Données projet'!$A$140,$CQ$205^A66,IF(A66='Données projet'!$A$140,'Données projet'!$B$140,CT65+CS66-DB65)))</f>
        <v>295.59999999999985</v>
      </c>
      <c r="CU66" s="17">
        <f>CT66*VLOOKUP('Données projet'!$B$13,Paramètres!$A$1:$I$89,3,0)*VLOOKUP('Données projet'!$B$13,Paramètres!$A$1:$I$89,5,0)</f>
        <v>235.17935999999989</v>
      </c>
      <c r="CV66" s="13">
        <f t="shared" si="41"/>
        <v>57.401124668909425</v>
      </c>
      <c r="CW66" s="20">
        <f t="shared" si="13"/>
        <v>509.57767746501708</v>
      </c>
      <c r="CX66" s="59">
        <f t="shared" si="14"/>
        <v>802.91101079835039</v>
      </c>
      <c r="CY66" s="59">
        <f ca="1">AVERAGE(OFFSET($CX$3,0,0,'Données projet'!$E$13+1,1))-AVERAGE(OFFSET($H$3,0,0,'Données projet'!$E$13+1,1))</f>
        <v>279.49721661620544</v>
      </c>
      <c r="CZ66" s="59">
        <f t="shared" si="42"/>
        <v>275.18739333988754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46.910456412806802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46.910456412806802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7.2</v>
      </c>
      <c r="DO66" s="12">
        <f>IF('Données projet'!$A$166&gt;35,DO65+DN66-DW65,IF(A66&lt;'Données projet'!$A$166,$DL$205^A66,IF(A66='Données projet'!$A$166,'Données projet'!$B$166,DO65+DN66-DW65)))</f>
        <v>214.59999999999994</v>
      </c>
      <c r="DP66" s="17">
        <f>DO66*VLOOKUP('Données projet'!$B$14,Paramètres!$A$1:$I$89,3,0)*VLOOKUP('Données projet'!$B$14,Paramètres!$A$1:$I$89,5,0)</f>
        <v>217.60439999999994</v>
      </c>
      <c r="DQ66" s="13">
        <f t="shared" si="43"/>
        <v>53.593882578706356</v>
      </c>
      <c r="DR66" s="20">
        <f t="shared" si="16"/>
        <v>472.33700882458015</v>
      </c>
      <c r="DS66" s="59">
        <f t="shared" si="17"/>
        <v>765.67034215791341</v>
      </c>
      <c r="DT66" s="59">
        <f ca="1">AVERAGE(OFFSET($DS$3,0,0,'Données projet'!$E$14+1,1))-AVERAGE(OFFSET($H$3,0,0,'Données projet'!$E$14+1,1))</f>
        <v>308.80022073574963</v>
      </c>
      <c r="DU66" s="59">
        <f t="shared" si="44"/>
        <v>183.96267407004115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45.321280779772394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45.321280779772394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4.4000000000000004</v>
      </c>
      <c r="EJ66" s="12">
        <f>IF('Données projet'!$A$192&gt;35,EJ65+EI66-ER65,IF(A66&lt;'Données projet'!$A$192,$EG$205^A66,IF(A66='Données projet'!$A$192,'Données projet'!$B$192,EJ65+EI66-ER65)))</f>
        <v>246.19999999999985</v>
      </c>
      <c r="EK66" s="17">
        <f>EJ66*VLOOKUP('Données projet'!$B$15,Paramètres!$A$1:$I$89,3,0)*VLOOKUP('Données projet'!$B$15,Paramètres!$A$1:$I$89,5,0)</f>
        <v>161.31023999999988</v>
      </c>
      <c r="EL66" s="13">
        <f t="shared" si="45"/>
        <v>41.137903274661063</v>
      </c>
      <c r="EM66" s="20">
        <f t="shared" si="19"/>
        <v>352.59718287003443</v>
      </c>
      <c r="EN66" s="59">
        <f t="shared" si="20"/>
        <v>645.93051620336769</v>
      </c>
      <c r="EO66" s="59">
        <f ca="1">AVERAGE(OFFSET($EN$3,0,0,'Données projet'!$E$15+1,1))-AVERAGE(OFFSET($H$3,0,0,'Données projet'!$E$15+1,1))</f>
        <v>178.71569711875242</v>
      </c>
      <c r="EP66" s="59">
        <f t="shared" si="46"/>
        <v>178.13848582064168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26.406325075128343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26.406325075128343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7.2</v>
      </c>
      <c r="FE66" s="12">
        <f>IF('Données projet'!$A$218&gt;35,FE65+FD66-FM65,IF(A66&lt;'Données projet'!$A$218,$FB$205^A66,IF(A66='Données projet'!$A$218,'Données projet'!$B$218,FE65+FD66-FM65)))</f>
        <v>214.59999999999994</v>
      </c>
      <c r="FF66" s="17">
        <f>FE66*VLOOKUP('Données projet'!$B$16,Paramètres!$A$1:$I$89,3,0)*VLOOKUP('Données projet'!$B$16,Paramètres!$A$1:$I$89,5,0)</f>
        <v>180.77903999999995</v>
      </c>
      <c r="FG66" s="13">
        <f t="shared" si="47"/>
        <v>45.495464625737284</v>
      </c>
      <c r="FH66" s="20">
        <f t="shared" si="22"/>
        <v>394.09476222315897</v>
      </c>
      <c r="FI66" s="59">
        <f t="shared" si="23"/>
        <v>687.42809555649228</v>
      </c>
      <c r="FJ66" s="59">
        <f ca="1">AVERAGE(OFFSET($FI$3,0,0,'Données projet'!$E$16+1,1))-AVERAGE(OFFSET($H$3,0,0,'Données projet'!$E$16+1,1))</f>
        <v>247.22536892257716</v>
      </c>
      <c r="FK66" s="59">
        <f t="shared" si="48"/>
        <v>147.97952262756075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37.651525570887834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37.651525570887834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6">
        <f t="shared" si="1"/>
        <v>363.52943348895451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6</v>
      </c>
      <c r="N67" s="13">
        <f>IF('Données projet'!$A$36&gt;35,N66+M67-V66,IF(A67&lt;'Données projet'!$A$36,$K$205^A67,IF(A67='Données projet'!$A$36,'Données projet'!$B$36,N66+M67-V66)))</f>
        <v>240.00000000000026</v>
      </c>
      <c r="O67" s="13">
        <f>N67*VLOOKUP('Données projet'!$B$9,Paramètres!$A$1:$I$89,3,0)*VLOOKUP('Données projet'!$B$9,Paramètres!$A$1:$I$89,5,0)</f>
        <v>209.66400000000024</v>
      </c>
      <c r="P67" s="13">
        <f t="shared" si="33"/>
        <v>51.862154403304579</v>
      </c>
      <c r="Q67" s="20">
        <f t="shared" ref="Q67:Q98" si="54">(O67+P67)*0.475*44/12</f>
        <v>455.49138558575584</v>
      </c>
      <c r="R67" s="59">
        <f t="shared" ref="R67:R130" si="55">Q67+(I67+J67)*44/12</f>
        <v>748.82471891908915</v>
      </c>
      <c r="S67" s="59">
        <f ca="1">AVERAGE(OFFSET($R$3,0,0,'Données projet'!$E$9+1,1))-AVERAGE(OFFSET($H$3,0,0,'Données projet'!$E$9+1,1))</f>
        <v>253.73326067725128</v>
      </c>
      <c r="T67" s="59">
        <f t="shared" si="34"/>
        <v>317.76427047458026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60.588115986913088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60.588115986913088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19.2</v>
      </c>
      <c r="AI67" s="13">
        <f>IF('Données projet'!$A$62&gt;35,AI66+AH67-AQ66,IF(A67&lt;'Données projet'!$A$62,$AF$205^A67,IF(A67='Données projet'!$A$62,'Données projet'!$B$62,AI66+AH67-AQ66)))</f>
        <v>651.80000000000007</v>
      </c>
      <c r="AJ67" s="13">
        <f>AI67*VLOOKUP('Données projet'!$B$10,Paramètres!$A$1:$I$89,3,0)*VLOOKUP('Données projet'!$B$10,Paramètres!$A$1:$I$89,5,0)</f>
        <v>313.51580000000007</v>
      </c>
      <c r="AK67" s="13">
        <f t="shared" si="35"/>
        <v>74.002586533663177</v>
      </c>
      <c r="AL67" s="20">
        <f t="shared" si="4"/>
        <v>674.9278565461301</v>
      </c>
      <c r="AM67" s="59">
        <f t="shared" si="5"/>
        <v>968.26118987946347</v>
      </c>
      <c r="AN67" s="59">
        <f ca="1">AVERAGE(OFFSET($AM$3,0,0,'Données projet'!$E$10+1,1))-AVERAGE(OFFSET($H$3,0,0,'Données projet'!$E$10+1,1))</f>
        <v>349.65790906807746</v>
      </c>
      <c r="AO67" s="59">
        <f t="shared" si="36"/>
        <v>291.88925884278888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94.134220611971728</v>
      </c>
      <c r="AV67" s="21">
        <f>EXP(-LN(2)/25)*AV66+(1-EXP(-LN(2)/25))/(LN(2)/25)*Calculateur!AQ67*Calculateur!AS67*VLOOKUP('Données projet'!$B$10,Paramètres!$A$1:$I$89,3,0)*0.475*44/12</f>
        <v>16.048408546950785</v>
      </c>
      <c r="AW67" s="21">
        <f>EXP(-LN(2)/2)*AW66+(1-EXP(-LN(2)/2))/(LN(2)/2)*AQ67*AT67*VLOOKUP('Données projet'!$B$10,Paramètres!$A$1:$I$89,3,0)*0.475*44/12</f>
        <v>3.8953094609515453E-7</v>
      </c>
      <c r="AX67" s="21">
        <f t="shared" si="6"/>
        <v>110.18262954845345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5.2</v>
      </c>
      <c r="BD67" s="12">
        <f>IF('Données projet'!$A$88&gt;35,BD66+BC67-BL66,IF(A67&lt;'Données projet'!$A$88,$BA$205^A67,IF(A67='Données projet'!$A$88,'Données projet'!$B$88,BD66+BC67-BL66)))</f>
        <v>300.79999999999984</v>
      </c>
      <c r="BE67" s="13">
        <f>BD67*VLOOKUP('Données projet'!$B$11,Paramètres!$A$1:$I$89,3,0)*VLOOKUP('Données projet'!$B$11,Paramètres!$A$1:$I$89,5,0)</f>
        <v>239.3164799999999</v>
      </c>
      <c r="BF67" s="13">
        <f t="shared" si="37"/>
        <v>58.292443422481945</v>
      </c>
      <c r="BG67" s="20">
        <f t="shared" si="7"/>
        <v>518.33554162748919</v>
      </c>
      <c r="BH67" s="59">
        <f t="shared" si="8"/>
        <v>811.66887496082245</v>
      </c>
      <c r="BI67" s="59">
        <f ca="1">AVERAGE(OFFSET($BH$3,0,0,'Données projet'!$E$11+1,1))-AVERAGE(OFFSET($H$3,0,0,'Données projet'!$E$11+1,1))</f>
        <v>279.49721661620544</v>
      </c>
      <c r="BJ67" s="59">
        <f t="shared" si="38"/>
        <v>275.18739333988754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45.990570975104816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45.990570975104816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4.4000000000000004</v>
      </c>
      <c r="BY67" s="12">
        <f>IF('Données projet'!$A$114&gt;35,BY66+BX67-CG66,IF(A67&lt;'Données projet'!$A$114,$BV$205^A67,IF(A67='Données projet'!$A$114,'Données projet'!$B$114,BY66+BX67-CG66)))</f>
        <v>250.59999999999985</v>
      </c>
      <c r="BZ67" s="13">
        <f>BY67*VLOOKUP('Données projet'!$B$12,Paramètres!$A$1:$I$89,3,0)*VLOOKUP('Données projet'!$B$12,Paramètres!$A$1:$I$89,5,0)</f>
        <v>242.38031999999984</v>
      </c>
      <c r="CA67" s="13">
        <f t="shared" si="39"/>
        <v>58.951373391207788</v>
      </c>
      <c r="CB67" s="20">
        <f t="shared" si="10"/>
        <v>524.81936598968662</v>
      </c>
      <c r="CC67" s="59">
        <f t="shared" si="11"/>
        <v>818.15269932301999</v>
      </c>
      <c r="CD67" s="59">
        <f ca="1">AVERAGE(OFFSET($CC$3,0,0,'Données projet'!$E$12+1,1))-AVERAGE(OFFSET($H$3,0,0,'Données projet'!$E$12+1,1))</f>
        <v>281.84871057356037</v>
      </c>
      <c r="CE67" s="59">
        <f t="shared" si="40"/>
        <v>276.02211904126887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38.216376549850629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38.216376549850629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5.2</v>
      </c>
      <c r="CT67" s="12">
        <f>IF('Données projet'!$A$140&gt;35,CT66+CS67-DB66,IF(A67&lt;'Données projet'!$A$140,$CQ$205^A67,IF(A67='Données projet'!$A$140,'Données projet'!$B$140,CT66+CS67-DB66)))</f>
        <v>300.79999999999984</v>
      </c>
      <c r="CU67" s="17">
        <f>CT67*VLOOKUP('Données projet'!$B$13,Paramètres!$A$1:$I$89,3,0)*VLOOKUP('Données projet'!$B$13,Paramètres!$A$1:$I$89,5,0)</f>
        <v>239.3164799999999</v>
      </c>
      <c r="CV67" s="13">
        <f t="shared" si="41"/>
        <v>58.292443422481945</v>
      </c>
      <c r="CW67" s="20">
        <f t="shared" si="13"/>
        <v>518.33554162748919</v>
      </c>
      <c r="CX67" s="59">
        <f t="shared" si="14"/>
        <v>811.66887496082245</v>
      </c>
      <c r="CY67" s="59">
        <f ca="1">AVERAGE(OFFSET($CX$3,0,0,'Données projet'!$E$13+1,1))-AVERAGE(OFFSET($H$3,0,0,'Données projet'!$E$13+1,1))</f>
        <v>279.49721661620544</v>
      </c>
      <c r="CZ67" s="59">
        <f t="shared" si="42"/>
        <v>275.18739333988754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45.990570975104816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45.990570975104816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7.2</v>
      </c>
      <c r="DO67" s="12">
        <f>IF('Données projet'!$A$166&gt;35,DO66+DN67-DW66,IF(A67&lt;'Données projet'!$A$166,$DL$205^A67,IF(A67='Données projet'!$A$166,'Données projet'!$B$166,DO66+DN67-DW66)))</f>
        <v>221.79999999999993</v>
      </c>
      <c r="DP67" s="17">
        <f>DO67*VLOOKUP('Données projet'!$B$14,Paramètres!$A$1:$I$89,3,0)*VLOOKUP('Données projet'!$B$14,Paramètres!$A$1:$I$89,5,0)</f>
        <v>224.90519999999995</v>
      </c>
      <c r="DQ67" s="13">
        <f t="shared" si="43"/>
        <v>55.17963460003309</v>
      </c>
      <c r="DR67" s="20">
        <f t="shared" si="16"/>
        <v>487.81442026172425</v>
      </c>
      <c r="DS67" s="59">
        <f t="shared" si="17"/>
        <v>781.14775359505757</v>
      </c>
      <c r="DT67" s="59">
        <f ca="1">AVERAGE(OFFSET($DS$3,0,0,'Données projet'!$E$14+1,1))-AVERAGE(OFFSET($H$3,0,0,'Données projet'!$E$14+1,1))</f>
        <v>308.80022073574963</v>
      </c>
      <c r="DU67" s="59">
        <f t="shared" si="44"/>
        <v>183.96267407004115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44.432558106932788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44.432558106932788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4.4000000000000004</v>
      </c>
      <c r="EJ67" s="12">
        <f>IF('Données projet'!$A$192&gt;35,EJ66+EI67-ER66,IF(A67&lt;'Données projet'!$A$192,$EG$205^A67,IF(A67='Données projet'!$A$192,'Données projet'!$B$192,EJ66+EI67-ER66)))</f>
        <v>250.59999999999985</v>
      </c>
      <c r="EK67" s="17">
        <f>EJ67*VLOOKUP('Données projet'!$B$15,Paramètres!$A$1:$I$89,3,0)*VLOOKUP('Données projet'!$B$15,Paramètres!$A$1:$I$89,5,0)</f>
        <v>164.19311999999991</v>
      </c>
      <c r="EL67" s="13">
        <f t="shared" si="45"/>
        <v>41.786856670339013</v>
      </c>
      <c r="EM67" s="20">
        <f t="shared" si="19"/>
        <v>358.74845936750694</v>
      </c>
      <c r="EN67" s="59">
        <f t="shared" si="20"/>
        <v>652.0817927008402</v>
      </c>
      <c r="EO67" s="59">
        <f ca="1">AVERAGE(OFFSET($EN$3,0,0,'Données projet'!$E$15+1,1))-AVERAGE(OFFSET($H$3,0,0,'Données projet'!$E$15+1,1))</f>
        <v>178.71569711875242</v>
      </c>
      <c r="EP67" s="59">
        <f t="shared" si="46"/>
        <v>178.13848582064168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25.888513146673009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25.888513146673009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7.2</v>
      </c>
      <c r="FE67" s="12">
        <f>IF('Données projet'!$A$218&gt;35,FE66+FD67-FM66,IF(A67&lt;'Données projet'!$A$218,$FB$205^A67,IF(A67='Données projet'!$A$218,'Données projet'!$B$218,FE66+FD67-FM66)))</f>
        <v>221.79999999999993</v>
      </c>
      <c r="FF67" s="17">
        <f>FE67*VLOOKUP('Données projet'!$B$16,Paramètres!$A$1:$I$89,3,0)*VLOOKUP('Données projet'!$B$16,Paramètres!$A$1:$I$89,5,0)</f>
        <v>186.84431999999995</v>
      </c>
      <c r="FG67" s="13">
        <f t="shared" si="47"/>
        <v>46.841598205171657</v>
      </c>
      <c r="FH67" s="20">
        <f t="shared" si="22"/>
        <v>407.00297420734051</v>
      </c>
      <c r="FI67" s="59">
        <f t="shared" si="23"/>
        <v>700.33630754067383</v>
      </c>
      <c r="FJ67" s="59">
        <f ca="1">AVERAGE(OFFSET($FI$3,0,0,'Données projet'!$E$16+1,1))-AVERAGE(OFFSET($H$3,0,0,'Données projet'!$E$16+1,1))</f>
        <v>247.22536892257716</v>
      </c>
      <c r="FK67" s="59">
        <f t="shared" si="48"/>
        <v>147.97952262756075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36.9132021196057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36.9132021196057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6">
        <f t="shared" ref="H68:H131" si="56">(B68+E68+F68)*44/12+(C68+D68)*0.475*44/12</f>
        <v>364.59588455641932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246</v>
      </c>
      <c r="L68" s="12">
        <f>VLOOKUP(A68,'Données projet'!$A$35:$I$55,9,0)</f>
        <v>6</v>
      </c>
      <c r="M68" s="12">
        <f t="array" ref="M68">INDEX(L:L,MIN(IF(ISNUMBER(L68:L264),ROW(L68:L264),"")))</f>
        <v>6</v>
      </c>
      <c r="N68" s="13">
        <f>IF('Données projet'!$A$36&gt;35,N67+M68-V67,IF(A68&lt;'Données projet'!$A$36,$K$205^A68,IF(A68='Données projet'!$A$36,'Données projet'!$B$36,N67+M68-V67)))</f>
        <v>246.00000000000026</v>
      </c>
      <c r="O68" s="13">
        <f>N68*VLOOKUP('Données projet'!$B$9,Paramètres!$A$1:$I$89,3,0)*VLOOKUP('Données projet'!$B$9,Paramètres!$A$1:$I$89,5,0)</f>
        <v>214.90560000000025</v>
      </c>
      <c r="P68" s="13">
        <f t="shared" si="33"/>
        <v>53.006137800892375</v>
      </c>
      <c r="Q68" s="20">
        <f t="shared" si="54"/>
        <v>466.61294333655468</v>
      </c>
      <c r="R68" s="59">
        <f t="shared" si="55"/>
        <v>759.94627666988799</v>
      </c>
      <c r="S68" s="59">
        <f ca="1">AVERAGE(OFFSET($R$3,0,0,'Données projet'!$E$9+1,1))-AVERAGE(OFFSET($H$3,0,0,'Données projet'!$E$9+1,1))</f>
        <v>253.73326067725128</v>
      </c>
      <c r="T68" s="59">
        <f t="shared" si="34"/>
        <v>317.76427047458026</v>
      </c>
      <c r="U68" s="15">
        <f>IF(ISNA(VLOOKUP(A68,'Données projet'!$A$35:$I$55,3,0)),0,VLOOKUP(A68,'Données projet'!$A$35:$I$55,3,0))</f>
        <v>11</v>
      </c>
      <c r="V68" s="15">
        <f>IF(ISNA(VLOOKUP(A68,'Données projet'!$A$35:$I$55,4,0)),0,VLOOKUP(A68,'Données projet'!$A$35:$I$55,4,0))</f>
        <v>23</v>
      </c>
      <c r="W68" s="16">
        <f>IF(ISNA(VLOOKUP(A68,'Données projet'!$A$35:$I$55,5,0)),0%,VLOOKUP(A68,'Données projet'!$A$35:$I$55,5,0)*VLOOKUP('Données projet'!$B$9,Paramètres!$A$1:$I$89,7,0))</f>
        <v>0.43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68.951177941519717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68.951177941519717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671</v>
      </c>
      <c r="AG68" s="12">
        <f>VLOOKUP(A68,'Données projet'!$A$61:$I$81,9,0)</f>
        <v>19.2</v>
      </c>
      <c r="AH68" s="12">
        <f t="array" ref="AH68">INDEX(AG:AG,MIN(IF(ISNUMBER(AG68:AG264),ROW(AG68:AG264),"")))</f>
        <v>19.2</v>
      </c>
      <c r="AI68" s="13">
        <f>IF('Données projet'!$A$62&gt;35,AI67+AH68-AQ67,IF(A68&lt;'Données projet'!$A$62,$AF$205^A68,IF(A68='Données projet'!$A$62,'Données projet'!$B$62,AI67+AH68-AQ67)))</f>
        <v>671.00000000000011</v>
      </c>
      <c r="AJ68" s="13">
        <f>AI68*VLOOKUP('Données projet'!$B$10,Paramètres!$A$1:$I$89,3,0)*VLOOKUP('Données projet'!$B$10,Paramètres!$A$1:$I$89,5,0)</f>
        <v>322.75100000000003</v>
      </c>
      <c r="AK68" s="13">
        <f t="shared" si="35"/>
        <v>75.925467232741838</v>
      </c>
      <c r="AL68" s="20">
        <f t="shared" ref="AL68:AL131" si="58">(AJ68+AK68)*0.475*44/12</f>
        <v>694.36151376369207</v>
      </c>
      <c r="AM68" s="59">
        <f t="shared" ref="AM68:AM131" si="59">AL68+(AD68+AE68)*44/12</f>
        <v>987.69484709702533</v>
      </c>
      <c r="AN68" s="59">
        <f ca="1">AVERAGE(OFFSET($AM$3,0,0,'Données projet'!$E$10+1,1))-AVERAGE(OFFSET($H$3,0,0,'Données projet'!$E$10+1,1))</f>
        <v>349.65790906807746</v>
      </c>
      <c r="AO68" s="59">
        <f t="shared" si="36"/>
        <v>291.88925884278888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50</v>
      </c>
      <c r="AR68" s="16">
        <f>IF(ISNA(VLOOKUP(A68,'Données projet'!$A$61:$I$81,5,0)),0%,VLOOKUP(A68,'Données projet'!$A$61:$I$81,5,0)*VLOOKUP('Données projet'!$B$10,Paramètres!$A$1:$I$89,7,0))</f>
        <v>0.55000000000000004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109.83543729630267</v>
      </c>
      <c r="AV68" s="21">
        <f>EXP(-LN(2)/25)*AV67+(1-EXP(-LN(2)/25))/(LN(2)/25)*Calculateur!AQ68*Calculateur!AS68*VLOOKUP('Données projet'!$B$10,Paramètres!$A$1:$I$89,3,0)*0.475*44/12</f>
        <v>15.60956397128529</v>
      </c>
      <c r="AW68" s="21">
        <f>EXP(-LN(2)/2)*AW67+(1-EXP(-LN(2)/2))/(LN(2)/2)*AQ68*AT68*VLOOKUP('Données projet'!$B$10,Paramètres!$A$1:$I$89,3,0)*0.475*44/12</f>
        <v>2.7543997346589527E-7</v>
      </c>
      <c r="AX68" s="21">
        <f t="shared" ref="AX68:AX131" si="60">SUM(AU68:AW68)</f>
        <v>125.44500154302794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306</v>
      </c>
      <c r="BB68" s="12">
        <f>VLOOKUP(A68,'Données projet'!$A$87:$I$107,9,0)</f>
        <v>5.2</v>
      </c>
      <c r="BC68" s="12">
        <f t="array" ref="BC68">INDEX(BB:BB,MIN(IF(ISNUMBER(BB68:BB264),ROW(BB68:BB264),"")))</f>
        <v>5.2</v>
      </c>
      <c r="BD68" s="12">
        <f>IF('Données projet'!$A$88&gt;35,BD67+BC68-BL67,IF(A68&lt;'Données projet'!$A$88,$BA$205^A68,IF(A68='Données projet'!$A$88,'Données projet'!$B$88,BD67+BC68-BL67)))</f>
        <v>305.99999999999983</v>
      </c>
      <c r="BE68" s="13">
        <f>BD68*VLOOKUP('Données projet'!$B$11,Paramètres!$A$1:$I$89,3,0)*VLOOKUP('Données projet'!$B$11,Paramètres!$A$1:$I$89,5,0)</f>
        <v>243.45359999999988</v>
      </c>
      <c r="BF68" s="13">
        <f t="shared" si="37"/>
        <v>59.181970343065267</v>
      </c>
      <c r="BG68" s="20">
        <f t="shared" ref="BG68:BG131" si="61">(BE68+BF68)*0.475*44/12</f>
        <v>527.09028501417163</v>
      </c>
      <c r="BH68" s="59">
        <f t="shared" ref="BH68:BH131" si="62">BG68+(AY68+AZ68)*44/12</f>
        <v>820.423618347505</v>
      </c>
      <c r="BI68" s="59">
        <f ca="1">AVERAGE(OFFSET($BH$3,0,0,'Données projet'!$E$11+1,1))-AVERAGE(OFFSET($H$3,0,0,'Données projet'!$E$11+1,1))</f>
        <v>279.49721661620544</v>
      </c>
      <c r="BJ68" s="59">
        <f t="shared" si="38"/>
        <v>275.18739333988754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13</v>
      </c>
      <c r="BM68" s="16">
        <f>IF(ISNA(VLOOKUP(A68,'Données projet'!$A$87:$I$107,5,0)),0%,VLOOKUP(A68,'Données projet'!$A$87:$I$107,5,0)*VLOOKUP('Données projet'!$B$11,Paramètres!$A$1:$I$89,7,0))</f>
        <v>0.53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51.148563221721147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51.148563221721147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255</v>
      </c>
      <c r="BW68" s="12">
        <f>VLOOKUP(A68,'Données projet'!$A$113:$I$133,9,0)</f>
        <v>4.4000000000000004</v>
      </c>
      <c r="BX68" s="12">
        <f t="array" ref="BX68">INDEX(BW:BW,MIN(IF(ISNUMBER(BW68:BW264),ROW(BW68:BW264),"")))</f>
        <v>4.4000000000000004</v>
      </c>
      <c r="BY68" s="12">
        <f>IF('Données projet'!$A$114&gt;35,BY67+BX68-CG67,IF(A68&lt;'Données projet'!$A$114,$BV$205^A68,IF(A68='Données projet'!$A$114,'Données projet'!$B$114,BY67+BX68-CG67)))</f>
        <v>254.99999999999986</v>
      </c>
      <c r="BZ68" s="13">
        <f>BY68*VLOOKUP('Données projet'!$B$12,Paramètres!$A$1:$I$89,3,0)*VLOOKUP('Données projet'!$B$12,Paramètres!$A$1:$I$89,5,0)</f>
        <v>246.63599999999985</v>
      </c>
      <c r="CA68" s="13">
        <f t="shared" si="39"/>
        <v>59.865023903294535</v>
      </c>
      <c r="CB68" s="20">
        <f t="shared" ref="CB68:CB131" si="64">(BZ68+CA68)*0.475*44/12</f>
        <v>533.8226166315709</v>
      </c>
      <c r="CC68" s="59">
        <f t="shared" ref="CC68:CC131" si="65">CB68+(BT68+BU68)*44/12</f>
        <v>827.15594996490427</v>
      </c>
      <c r="CD68" s="59">
        <f ca="1">AVERAGE(OFFSET($CC$3,0,0,'Données projet'!$E$12+1,1))-AVERAGE(OFFSET($H$3,0,0,'Données projet'!$E$12+1,1))</f>
        <v>281.84871057356037</v>
      </c>
      <c r="CE68" s="59">
        <f t="shared" si="40"/>
        <v>276.02211904126887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11</v>
      </c>
      <c r="CH68" s="16">
        <f>IF(ISNA(VLOOKUP(A68,'Données projet'!$A$113:$I$133,5,0)),0%,VLOOKUP(A68,'Données projet'!$A$113:$I$133,5,0)*VLOOKUP('Données projet'!$B$12,Paramètres!$A$1:$I$89,7,0))</f>
        <v>0.43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42.524344514024712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42.524344514024712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306</v>
      </c>
      <c r="CR68" s="12">
        <f>VLOOKUP(A68,'Données projet'!$A$139:$I$159,9,0)</f>
        <v>5.2</v>
      </c>
      <c r="CS68" s="12">
        <f t="array" ref="CS68">INDEX(CR:CR,MIN(IF(ISNUMBER(CR68:CR264),ROW(CR68:CR264),"")))</f>
        <v>5.2</v>
      </c>
      <c r="CT68" s="12">
        <f>IF('Données projet'!$A$140&gt;35,CT67+CS68-DB67,IF(A68&lt;'Données projet'!$A$140,$CQ$205^A68,IF(A68='Données projet'!$A$140,'Données projet'!$B$140,CT67+CS68-DB67)))</f>
        <v>305.99999999999983</v>
      </c>
      <c r="CU68" s="17">
        <f>CT68*VLOOKUP('Données projet'!$B$13,Paramètres!$A$1:$I$89,3,0)*VLOOKUP('Données projet'!$B$13,Paramètres!$A$1:$I$89,5,0)</f>
        <v>243.45359999999988</v>
      </c>
      <c r="CV68" s="13">
        <f t="shared" si="41"/>
        <v>59.181970343065267</v>
      </c>
      <c r="CW68" s="20">
        <f t="shared" ref="CW68:CW131" si="67">(CU68+CV68)*0.475*44/12</f>
        <v>527.09028501417163</v>
      </c>
      <c r="CX68" s="59">
        <f t="shared" ref="CX68:CX131" si="68">CW68+(CO68+CP68)*44/12</f>
        <v>820.423618347505</v>
      </c>
      <c r="CY68" s="59">
        <f ca="1">AVERAGE(OFFSET($CX$3,0,0,'Données projet'!$E$13+1,1))-AVERAGE(OFFSET($H$3,0,0,'Données projet'!$E$13+1,1))</f>
        <v>279.49721661620544</v>
      </c>
      <c r="CZ68" s="59">
        <f t="shared" si="42"/>
        <v>275.18739333988754</v>
      </c>
      <c r="DA68" s="15">
        <f>IF(ISNA(VLOOKUP(A68,'Données projet'!$A$139:$I$159,3,0)),0,VLOOKUP(A68,'Données projet'!$A$139:$I$159,3,0))</f>
        <v>11</v>
      </c>
      <c r="DB68" s="15">
        <f>IF(ISNA(VLOOKUP(A68,'Données projet'!$A$139:$I$159,4,0)),0,VLOOKUP(A68,'Données projet'!$A$139:$I$159,4,0))</f>
        <v>13</v>
      </c>
      <c r="DC68" s="16">
        <f>IF(ISNA(VLOOKUP(A68,'Données projet'!$A$139:$I$159,5,0)),0%,VLOOKUP(A68,'Données projet'!$A$139:$I$159,5,0)*VLOOKUP('Données projet'!$B$13,Paramètres!$A$1:$I$89,7,0))</f>
        <v>0.53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51.148563221721147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51.148563221721147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229</v>
      </c>
      <c r="DM68" s="12">
        <f>VLOOKUP(A68,'Données projet'!$A$165:$I$185,9,0)</f>
        <v>7.2</v>
      </c>
      <c r="DN68" s="12">
        <f t="array" ref="DN68">INDEX(DM:DM,MIN(IF(ISNUMBER(DM68:DM264),ROW(DM68:DM264),"")))</f>
        <v>7.2</v>
      </c>
      <c r="DO68" s="12">
        <f>IF('Données projet'!$A$166&gt;35,DO67+DN68-DW67,IF(A68&lt;'Données projet'!$A$166,$DL$205^A68,IF(A68='Données projet'!$A$166,'Données projet'!$B$166,DO67+DN68-DW67)))</f>
        <v>228.99999999999991</v>
      </c>
      <c r="DP68" s="17">
        <f>DO68*VLOOKUP('Données projet'!$B$14,Paramètres!$A$1:$I$89,3,0)*VLOOKUP('Données projet'!$B$14,Paramètres!$A$1:$I$89,5,0)</f>
        <v>232.2059999999999</v>
      </c>
      <c r="DQ68" s="13">
        <f t="shared" si="43"/>
        <v>56.759404991217522</v>
      </c>
      <c r="DR68" s="20">
        <f t="shared" ref="DR68:DR131" si="70">(DP68+DQ68)*0.475*44/12</f>
        <v>503.281413693037</v>
      </c>
      <c r="DS68" s="59">
        <f t="shared" ref="DS68:DS131" si="71">DR68+(DJ68+DK68)*44/12</f>
        <v>796.61474702637031</v>
      </c>
      <c r="DT68" s="59">
        <f ca="1">AVERAGE(OFFSET($DS$3,0,0,'Données projet'!$E$14+1,1))-AVERAGE(OFFSET($H$3,0,0,'Données projet'!$E$14+1,1))</f>
        <v>308.80022073574963</v>
      </c>
      <c r="DU68" s="59">
        <f t="shared" si="44"/>
        <v>183.96267407004115</v>
      </c>
      <c r="DV68" s="15">
        <f>IF(ISNA(VLOOKUP(A68,'Données projet'!$A$165:$I$185,3,0)),0,VLOOKUP(A68,'Données projet'!$A$165:$I$185,3,0))</f>
        <v>9</v>
      </c>
      <c r="DW68" s="15">
        <f>IF(ISNA(VLOOKUP(A68,'Données projet'!$A$165:$I$185,4,0)),0,VLOOKUP(A68,'Données projet'!$A$165:$I$185,4,0))</f>
        <v>21</v>
      </c>
      <c r="DX68" s="16">
        <f>IF(ISNA(VLOOKUP(A68,'Données projet'!$A$165:$I$185,5,0)),0%,VLOOKUP(A68,'Données projet'!$A$165:$I$185,5,0)*VLOOKUP('Données projet'!$B$14,Paramètres!$A$1:$I$89,7,0))</f>
        <v>0.43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53.683413836203357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53.683413836203357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255</v>
      </c>
      <c r="EH68" s="12">
        <f>VLOOKUP(A68,'Données projet'!$A$191:$I$211,9,0)</f>
        <v>4.4000000000000004</v>
      </c>
      <c r="EI68" s="12">
        <f t="array" ref="EI68">INDEX(EH:EH,MIN(IF(ISNUMBER(EH68:EH264),ROW(EH68:EH264),"")))</f>
        <v>4.4000000000000004</v>
      </c>
      <c r="EJ68" s="12">
        <f>IF('Données projet'!$A$192&gt;35,EJ67+EI68-ER67,IF(A68&lt;'Données projet'!$A$192,$EG$205^A68,IF(A68='Données projet'!$A$192,'Données projet'!$B$192,EJ67+EI68-ER67)))</f>
        <v>254.99999999999986</v>
      </c>
      <c r="EK68" s="17">
        <f>EJ68*VLOOKUP('Données projet'!$B$15,Paramètres!$A$1:$I$89,3,0)*VLOOKUP('Données projet'!$B$15,Paramètres!$A$1:$I$89,5,0)</f>
        <v>167.07599999999991</v>
      </c>
      <c r="EL68" s="13">
        <f t="shared" si="45"/>
        <v>42.434485059621636</v>
      </c>
      <c r="EM68" s="20">
        <f t="shared" ref="EM68:EM131" si="73">(EK68+EL68)*0.475*44/12</f>
        <v>364.89742814550755</v>
      </c>
      <c r="EN68" s="59">
        <f t="shared" ref="EN68:EN131" si="74">EM68+(EE68+EF68)*44/12</f>
        <v>658.2307614788408</v>
      </c>
      <c r="EO68" s="59">
        <f ca="1">AVERAGE(OFFSET($EN$3,0,0,'Données projet'!$E$15+1,1))-AVERAGE(OFFSET($H$3,0,0,'Données projet'!$E$15+1,1))</f>
        <v>178.71569711875242</v>
      </c>
      <c r="EP68" s="59">
        <f t="shared" si="46"/>
        <v>178.13848582064168</v>
      </c>
      <c r="EQ68" s="15">
        <f>IF(ISNA(VLOOKUP(A68,'Données projet'!$A$191:$I$211,3,0)),0,VLOOKUP(A68,'Données projet'!$A$191:$I$211,3,0))</f>
        <v>11</v>
      </c>
      <c r="ER68" s="15">
        <f>IF(ISNA(VLOOKUP(A68,'Données projet'!$A$191:$I$211,4,0)),0,VLOOKUP(A68,'Données projet'!$A$191:$I$211,4,0))</f>
        <v>11</v>
      </c>
      <c r="ES68" s="16">
        <f>IF(ISNA(VLOOKUP(A68,'Données projet'!$A$191:$I$211,5,0)),0%,VLOOKUP(A68,'Données projet'!$A$191:$I$211,5,0)*VLOOKUP('Données projet'!$B$15,Paramètres!$A$1:$I$89,7,0))</f>
        <v>0.43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28.806814025629642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28.806814025629642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229</v>
      </c>
      <c r="FC68" s="12">
        <f>VLOOKUP(A68,'Données projet'!$A$217:$I$237,9,0)</f>
        <v>7.2</v>
      </c>
      <c r="FD68" s="12">
        <f t="array" ref="FD68">INDEX(FC:FC,MIN(IF(ISNUMBER(FC68:FC264),ROW(FC68:FC264),"")))</f>
        <v>7.2</v>
      </c>
      <c r="FE68" s="12">
        <f>IF('Données projet'!$A$218&gt;35,FE67+FD68-FM67,IF(A68&lt;'Données projet'!$A$218,$FB$205^A68,IF(A68='Données projet'!$A$218,'Données projet'!$B$218,FE67+FD68-FM67)))</f>
        <v>228.99999999999991</v>
      </c>
      <c r="FF68" s="17">
        <f>FE68*VLOOKUP('Données projet'!$B$16,Paramètres!$A$1:$I$89,3,0)*VLOOKUP('Données projet'!$B$16,Paramètres!$A$1:$I$89,5,0)</f>
        <v>192.90959999999995</v>
      </c>
      <c r="FG68" s="13">
        <f t="shared" si="47"/>
        <v>48.182654021446417</v>
      </c>
      <c r="FH68" s="20">
        <f t="shared" ref="FH68:FH131" si="76">(FF68+FG68)*0.475*44/12</f>
        <v>419.90234242068573</v>
      </c>
      <c r="FI68" s="59">
        <f t="shared" ref="FI68:FI131" si="77">FH68+(EZ68+FA68)*44/12</f>
        <v>713.23567575401898</v>
      </c>
      <c r="FJ68" s="59">
        <f ca="1">AVERAGE(OFFSET($FI$3,0,0,'Données projet'!$E$16+1,1))-AVERAGE(OFFSET($H$3,0,0,'Données projet'!$E$16+1,1))</f>
        <v>247.22536892257716</v>
      </c>
      <c r="FK68" s="59">
        <f t="shared" si="48"/>
        <v>147.97952262756075</v>
      </c>
      <c r="FL68" s="15">
        <f>IF(ISNA(VLOOKUP(A68,'Données projet'!$A$217:$I$237,3,0)),0,VLOOKUP(A68,'Données projet'!$A$217:$I$237,3,0))</f>
        <v>9</v>
      </c>
      <c r="FM68" s="15">
        <f>IF(ISNA(VLOOKUP(A68,'Données projet'!$A$217:$I$237,4,0)),0,VLOOKUP(A68,'Données projet'!$A$217:$I$237,4,0))</f>
        <v>21</v>
      </c>
      <c r="FN68" s="16">
        <f>IF(ISNA(VLOOKUP(A68,'Données projet'!$A$217:$I$237,5,0)),0%,VLOOKUP(A68,'Données projet'!$A$217:$I$237,5,0)*VLOOKUP('Données projet'!$B$16,Paramètres!$A$1:$I$89,7,0))</f>
        <v>0.43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44.598528417768946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44.598528417768946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6">
        <f t="shared" si="56"/>
        <v>365.66192640755855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5.2</v>
      </c>
      <c r="N69" s="13">
        <f>IF('Données projet'!$A$36&gt;35,N68+M69-V68,IF(A69&lt;'Données projet'!$A$36,$K$205^A69,IF(A69='Données projet'!$A$36,'Données projet'!$B$36,N68+M69-V68)))</f>
        <v>228.20000000000024</v>
      </c>
      <c r="O69" s="13">
        <f>N69*VLOOKUP('Données projet'!$B$9,Paramètres!$A$1:$I$89,3,0)*VLOOKUP('Données projet'!$B$9,Paramètres!$A$1:$I$89,5,0)</f>
        <v>199.35552000000024</v>
      </c>
      <c r="P69" s="13">
        <f t="shared" ref="P69:P132" si="87">EXP(-1.0587+0.8836*LN(O69)+0.284)</f>
        <v>49.602503932783272</v>
      </c>
      <c r="Q69" s="20">
        <f t="shared" si="54"/>
        <v>433.60189168293124</v>
      </c>
      <c r="R69" s="59">
        <f t="shared" si="55"/>
        <v>726.93522501626455</v>
      </c>
      <c r="S69" s="59">
        <f ca="1">AVERAGE(OFFSET($R$3,0,0,'Données projet'!$E$9+1,1))-AVERAGE(OFFSET($H$3,0,0,'Données projet'!$E$9+1,1))</f>
        <v>253.73326067725128</v>
      </c>
      <c r="T69" s="59">
        <f t="shared" ref="T69:T132" si="88">$T$3</f>
        <v>317.76427047458026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67.599087398152363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67.599087398152363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18</v>
      </c>
      <c r="AI69" s="13">
        <f>IF('Données projet'!$A$62&gt;35,AI68+AH69-AQ68,IF(A69&lt;'Données projet'!$A$62,$AF$205^A69,IF(A69='Données projet'!$A$62,'Données projet'!$B$62,AI68+AH69-AQ68)))</f>
        <v>639.00000000000011</v>
      </c>
      <c r="AJ69" s="13">
        <f>AI69*VLOOKUP('Données projet'!$B$10,Paramètres!$A$1:$I$89,3,0)*VLOOKUP('Données projet'!$B$10,Paramètres!$A$1:$I$89,5,0)</f>
        <v>307.35900000000004</v>
      </c>
      <c r="AK69" s="13">
        <f t="shared" ref="AK69:AK132" si="89">EXP(-1.0587+0.8836*LN(AJ69)+0.284)</f>
        <v>72.717009915108221</v>
      </c>
      <c r="AL69" s="20">
        <f t="shared" si="58"/>
        <v>661.96571726881348</v>
      </c>
      <c r="AM69" s="59">
        <f t="shared" si="59"/>
        <v>955.29905060214674</v>
      </c>
      <c r="AN69" s="59">
        <f ca="1">AVERAGE(OFFSET($AM$3,0,0,'Données projet'!$E$10+1,1))-AVERAGE(OFFSET($H$3,0,0,'Données projet'!$E$10+1,1))</f>
        <v>349.65790906807746</v>
      </c>
      <c r="AO69" s="59">
        <f t="shared" ref="AO69:AO132" si="90">$AO$3</f>
        <v>291.88925884278888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107.68163136392391</v>
      </c>
      <c r="AV69" s="21">
        <f>EXP(-LN(2)/25)*AV68+(1-EXP(-LN(2)/25))/(LN(2)/25)*Calculateur!AQ69*Calculateur!AS69*VLOOKUP('Données projet'!$B$10,Paramètres!$A$1:$I$89,3,0)*0.475*44/12</f>
        <v>15.182719623619201</v>
      </c>
      <c r="AW69" s="21">
        <f>EXP(-LN(2)/2)*AW68+(1-EXP(-LN(2)/2))/(LN(2)/2)*AQ69*AT69*VLOOKUP('Données projet'!$B$10,Paramètres!$A$1:$I$89,3,0)*0.475*44/12</f>
        <v>1.9476547304757726E-7</v>
      </c>
      <c r="AX69" s="21">
        <f t="shared" si="60"/>
        <v>122.8643511823086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4.5999999999999996</v>
      </c>
      <c r="BD69" s="12">
        <f>IF('Données projet'!$A$88&gt;35,BD68+BC69-BL68,IF(A69&lt;'Données projet'!$A$88,$BA$205^A69,IF(A69='Données projet'!$A$88,'Données projet'!$B$88,BD68+BC69-BL68)))</f>
        <v>297.59999999999985</v>
      </c>
      <c r="BE69" s="13">
        <f>BD69*VLOOKUP('Données projet'!$B$11,Paramètres!$A$1:$I$89,3,0)*VLOOKUP('Données projet'!$B$11,Paramètres!$A$1:$I$89,5,0)</f>
        <v>236.7705599999999</v>
      </c>
      <c r="BF69" s="13">
        <f t="shared" ref="BF69:BF132" si="91">EXP(-1.0587+0.8836*LN(BE69)+0.284)</f>
        <v>57.744153841586879</v>
      </c>
      <c r="BG69" s="20">
        <f t="shared" si="61"/>
        <v>512.9464599407637</v>
      </c>
      <c r="BH69" s="59">
        <f t="shared" si="62"/>
        <v>806.27979327409707</v>
      </c>
      <c r="BI69" s="59">
        <f ca="1">AVERAGE(OFFSET($BH$3,0,0,'Données projet'!$E$11+1,1))-AVERAGE(OFFSET($H$3,0,0,'Données projet'!$E$11+1,1))</f>
        <v>279.49721661620544</v>
      </c>
      <c r="BJ69" s="59">
        <f t="shared" ref="BJ69:BJ132" si="92">$BJ$3</f>
        <v>275.18739333988754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50.145571094486257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50.145571094486257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3.8</v>
      </c>
      <c r="BY69" s="12">
        <f>IF('Données projet'!$A$114&gt;35,BY68+BX69-CG68,IF(A69&lt;'Données projet'!$A$114,$BV$205^A69,IF(A69='Données projet'!$A$114,'Données projet'!$B$114,BY68+BX69-CG68)))</f>
        <v>247.79999999999984</v>
      </c>
      <c r="BZ69" s="13">
        <f>BY69*VLOOKUP('Données projet'!$B$12,Paramètres!$A$1:$I$89,3,0)*VLOOKUP('Données projet'!$B$12,Paramètres!$A$1:$I$89,5,0)</f>
        <v>239.67215999999988</v>
      </c>
      <c r="CA69" s="13">
        <f t="shared" ref="CA69:CA132" si="93">EXP(-1.0587+0.8836*LN(BZ69)+0.284)</f>
        <v>58.368988498598384</v>
      </c>
      <c r="CB69" s="20">
        <f t="shared" si="64"/>
        <v>519.08833363505858</v>
      </c>
      <c r="CC69" s="59">
        <f t="shared" si="65"/>
        <v>812.42166696839195</v>
      </c>
      <c r="CD69" s="59">
        <f ca="1">AVERAGE(OFFSET($CC$3,0,0,'Données projet'!$E$12+1,1))-AVERAGE(OFFSET($H$3,0,0,'Données projet'!$E$12+1,1))</f>
        <v>281.84871057356037</v>
      </c>
      <c r="CE69" s="59">
        <f t="shared" ref="CE69:CE132" si="94">$CE$3</f>
        <v>276.02211904126887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41.690468055393744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41.690468055393744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4.5999999999999996</v>
      </c>
      <c r="CT69" s="12">
        <f>IF('Données projet'!$A$140&gt;35,CT68+CS69-DB68,IF(A69&lt;'Données projet'!$A$140,$CQ$205^A69,IF(A69='Données projet'!$A$140,'Données projet'!$B$140,CT68+CS69-DB68)))</f>
        <v>297.59999999999985</v>
      </c>
      <c r="CU69" s="17">
        <f>CT69*VLOOKUP('Données projet'!$B$13,Paramètres!$A$1:$I$89,3,0)*VLOOKUP('Données projet'!$B$13,Paramètres!$A$1:$I$89,5,0)</f>
        <v>236.7705599999999</v>
      </c>
      <c r="CV69" s="13">
        <f t="shared" ref="CV69:CV132" si="95">EXP(-1.0587+0.8836*LN(CU69)+0.284)</f>
        <v>57.744153841586879</v>
      </c>
      <c r="CW69" s="20">
        <f t="shared" si="67"/>
        <v>512.9464599407637</v>
      </c>
      <c r="CX69" s="59">
        <f t="shared" si="68"/>
        <v>806.27979327409707</v>
      </c>
      <c r="CY69" s="59">
        <f ca="1">AVERAGE(OFFSET($CX$3,0,0,'Données projet'!$E$13+1,1))-AVERAGE(OFFSET($H$3,0,0,'Données projet'!$E$13+1,1))</f>
        <v>279.49721661620544</v>
      </c>
      <c r="CZ69" s="59">
        <f t="shared" ref="CZ69:CZ132" si="96">$CZ$3</f>
        <v>275.18739333988754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50.145571094486257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50.145571094486257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6.8</v>
      </c>
      <c r="DO69" s="12">
        <f>IF('Données projet'!$A$166&gt;35,DO68+DN69-DW68,IF(A69&lt;'Données projet'!$A$166,$DL$205^A69,IF(A69='Données projet'!$A$166,'Données projet'!$B$166,DO68+DN69-DW68)))</f>
        <v>214.79999999999993</v>
      </c>
      <c r="DP69" s="17">
        <f>DO69*VLOOKUP('Données projet'!$B$14,Paramètres!$A$1:$I$89,3,0)*VLOOKUP('Données projet'!$B$14,Paramètres!$A$1:$I$89,5,0)</f>
        <v>217.80719999999994</v>
      </c>
      <c r="DQ69" s="13">
        <f t="shared" ref="DQ69:DQ132" si="97">EXP(-1.0587+0.8836*LN(DP69)+0.284)</f>
        <v>53.638013973813976</v>
      </c>
      <c r="DR69" s="20">
        <f t="shared" si="70"/>
        <v>472.76708100439259</v>
      </c>
      <c r="DS69" s="59">
        <f t="shared" si="71"/>
        <v>766.10041433772585</v>
      </c>
      <c r="DT69" s="59">
        <f ca="1">AVERAGE(OFFSET($DS$3,0,0,'Données projet'!$E$14+1,1))-AVERAGE(OFFSET($H$3,0,0,'Données projet'!$E$14+1,1))</f>
        <v>308.80022073574963</v>
      </c>
      <c r="DU69" s="59">
        <f t="shared" ref="DU69:DU132" si="98">$DU$3</f>
        <v>183.96267407004115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52.630714834524682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52.630714834524682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3.8</v>
      </c>
      <c r="EJ69" s="12">
        <f>IF('Données projet'!$A$192&gt;35,EJ68+EI69-ER68,IF(A69&lt;'Données projet'!$A$192,$EG$205^A69,IF(A69='Données projet'!$A$192,'Données projet'!$B$192,EJ68+EI69-ER68)))</f>
        <v>247.79999999999984</v>
      </c>
      <c r="EK69" s="17">
        <f>EJ69*VLOOKUP('Données projet'!$B$15,Paramètres!$A$1:$I$89,3,0)*VLOOKUP('Données projet'!$B$15,Paramètres!$A$1:$I$89,5,0)</f>
        <v>162.3585599999999</v>
      </c>
      <c r="EL69" s="13">
        <f t="shared" ref="EL69:EL132" si="99">EXP(-1.0587+0.8836*LN(EK69)+0.284)</f>
        <v>41.374041283105406</v>
      </c>
      <c r="EM69" s="20">
        <f t="shared" si="73"/>
        <v>354.83428056807503</v>
      </c>
      <c r="EN69" s="59">
        <f t="shared" si="74"/>
        <v>648.16761390140834</v>
      </c>
      <c r="EO69" s="59">
        <f ca="1">AVERAGE(OFFSET($EN$3,0,0,'Données projet'!$E$15+1,1))-AVERAGE(OFFSET($H$3,0,0,'Données projet'!$E$15+1,1))</f>
        <v>178.71569711875242</v>
      </c>
      <c r="EP69" s="59">
        <f t="shared" ref="EP69:EP132" si="100">$EP$3</f>
        <v>178.13848582064168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28.241929973008666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28.241929973008666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6.8</v>
      </c>
      <c r="FE69" s="12">
        <f>IF('Données projet'!$A$218&gt;35,FE68+FD69-FM68,IF(A69&lt;'Données projet'!$A$218,$FB$205^A69,IF(A69='Données projet'!$A$218,'Données projet'!$B$218,FE68+FD69-FM68)))</f>
        <v>214.79999999999993</v>
      </c>
      <c r="FF69" s="17">
        <f>FE69*VLOOKUP('Données projet'!$B$16,Paramètres!$A$1:$I$89,3,0)*VLOOKUP('Données projet'!$B$16,Paramètres!$A$1:$I$89,5,0)</f>
        <v>180.94751999999994</v>
      </c>
      <c r="FG69" s="13">
        <f t="shared" ref="FG69:FG132" si="101">EXP(-1.0587+0.8836*LN(FF69)+0.284)</f>
        <v>45.53292745224649</v>
      </c>
      <c r="FH69" s="20">
        <f t="shared" si="76"/>
        <v>394.45344597932922</v>
      </c>
      <c r="FI69" s="59">
        <f t="shared" si="77"/>
        <v>687.78677931266247</v>
      </c>
      <c r="FJ69" s="59">
        <f ca="1">AVERAGE(OFFSET($FI$3,0,0,'Données projet'!$E$16+1,1))-AVERAGE(OFFSET($H$3,0,0,'Données projet'!$E$16+1,1))</f>
        <v>247.22536892257716</v>
      </c>
      <c r="FK69" s="59">
        <f t="shared" ref="FK69:FK132" si="102">$FK$3</f>
        <v>147.97952262756075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43.723978477912816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43.723978477912816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6">
        <f t="shared" si="56"/>
        <v>366.72756595876103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5.2</v>
      </c>
      <c r="N70" s="13">
        <f>IF('Données projet'!$A$36&gt;35,N69+M70-V69,IF(A70&lt;'Données projet'!$A$36,$K$205^A70,IF(A70='Données projet'!$A$36,'Données projet'!$B$36,N69+M70-V69)))</f>
        <v>233.40000000000023</v>
      </c>
      <c r="O70" s="13">
        <f>N70*VLOOKUP('Données projet'!$B$9,Paramètres!$A$1:$I$89,3,0)*VLOOKUP('Données projet'!$B$9,Paramètres!$A$1:$I$89,5,0)</f>
        <v>203.89824000000024</v>
      </c>
      <c r="P70" s="13">
        <f t="shared" si="87"/>
        <v>50.599918019430255</v>
      </c>
      <c r="Q70" s="20">
        <f t="shared" si="54"/>
        <v>443.25095855050807</v>
      </c>
      <c r="R70" s="59">
        <f t="shared" si="55"/>
        <v>736.58429188384139</v>
      </c>
      <c r="S70" s="59">
        <f ca="1">AVERAGE(OFFSET($R$3,0,0,'Données projet'!$E$9+1,1))-AVERAGE(OFFSET($H$3,0,0,'Données projet'!$E$9+1,1))</f>
        <v>253.73326067725128</v>
      </c>
      <c r="T70" s="59">
        <f t="shared" si="88"/>
        <v>317.76427047458026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66.273510525646643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66.273510525646643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18</v>
      </c>
      <c r="AI70" s="13">
        <f>IF('Données projet'!$A$62&gt;35,AI69+AH70-AQ69,IF(A70&lt;'Données projet'!$A$62,$AF$205^A70,IF(A70='Données projet'!$A$62,'Données projet'!$B$62,AI69+AH70-AQ69)))</f>
        <v>657.00000000000011</v>
      </c>
      <c r="AJ70" s="13">
        <f>AI70*VLOOKUP('Données projet'!$B$10,Paramètres!$A$1:$I$89,3,0)*VLOOKUP('Données projet'!$B$10,Paramètres!$A$1:$I$89,5,0)</f>
        <v>316.01700000000005</v>
      </c>
      <c r="AK70" s="13">
        <f t="shared" si="89"/>
        <v>74.524009906604846</v>
      </c>
      <c r="AL70" s="20">
        <f t="shared" si="58"/>
        <v>680.19225892067016</v>
      </c>
      <c r="AM70" s="59">
        <f t="shared" si="59"/>
        <v>973.52559225400341</v>
      </c>
      <c r="AN70" s="59">
        <f ca="1">AVERAGE(OFFSET($AM$3,0,0,'Données projet'!$E$10+1,1))-AVERAGE(OFFSET($H$3,0,0,'Données projet'!$E$10+1,1))</f>
        <v>349.65790906807746</v>
      </c>
      <c r="AO70" s="59">
        <f t="shared" si="90"/>
        <v>291.88925884278888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105.5700602521872</v>
      </c>
      <c r="AV70" s="21">
        <f>EXP(-LN(2)/25)*AV69+(1-EXP(-LN(2)/25))/(LN(2)/25)*Calculateur!AQ70*Calculateur!AS70*VLOOKUP('Données projet'!$B$10,Paramètres!$A$1:$I$89,3,0)*0.475*44/12</f>
        <v>14.76754735708681</v>
      </c>
      <c r="AW70" s="21">
        <f>EXP(-LN(2)/2)*AW69+(1-EXP(-LN(2)/2))/(LN(2)/2)*AQ70*AT70*VLOOKUP('Données projet'!$B$10,Paramètres!$A$1:$I$89,3,0)*0.475*44/12</f>
        <v>1.3771998673294764E-7</v>
      </c>
      <c r="AX70" s="21">
        <f t="shared" si="60"/>
        <v>120.33760774699401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4.5999999999999996</v>
      </c>
      <c r="BD70" s="12">
        <f>IF('Données projet'!$A$88&gt;35,BD69+BC70-BL69,IF(A70&lt;'Données projet'!$A$88,$BA$205^A70,IF(A70='Données projet'!$A$88,'Données projet'!$B$88,BD69+BC70-BL69)))</f>
        <v>302.19999999999987</v>
      </c>
      <c r="BE70" s="13">
        <f>BD70*VLOOKUP('Données projet'!$B$11,Paramètres!$A$1:$I$89,3,0)*VLOOKUP('Données projet'!$B$11,Paramètres!$A$1:$I$89,5,0)</f>
        <v>240.43031999999991</v>
      </c>
      <c r="BF70" s="13">
        <f t="shared" si="91"/>
        <v>58.532106271380506</v>
      </c>
      <c r="BG70" s="20">
        <f t="shared" si="61"/>
        <v>520.69289242265415</v>
      </c>
      <c r="BH70" s="59">
        <f t="shared" si="62"/>
        <v>814.02622575598753</v>
      </c>
      <c r="BI70" s="59">
        <f ca="1">AVERAGE(OFFSET($BH$3,0,0,'Données projet'!$E$11+1,1))-AVERAGE(OFFSET($H$3,0,0,'Données projet'!$E$11+1,1))</f>
        <v>279.49721661620544</v>
      </c>
      <c r="BJ70" s="59">
        <f t="shared" si="92"/>
        <v>275.18739333988754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49.162247031101657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49.162247031101657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3.8</v>
      </c>
      <c r="BY70" s="12">
        <f>IF('Données projet'!$A$114&gt;35,BY69+BX70-CG69,IF(A70&lt;'Données projet'!$A$114,$BV$205^A70,IF(A70='Données projet'!$A$114,'Données projet'!$B$114,BY69+BX70-CG69)))</f>
        <v>251.59999999999985</v>
      </c>
      <c r="BZ70" s="13">
        <f>BY70*VLOOKUP('Données projet'!$B$12,Paramètres!$A$1:$I$89,3,0)*VLOOKUP('Données projet'!$B$12,Paramètres!$A$1:$I$89,5,0)</f>
        <v>243.34751999999986</v>
      </c>
      <c r="CA70" s="13">
        <f t="shared" si="93"/>
        <v>59.159184061872203</v>
      </c>
      <c r="CB70" s="20">
        <f t="shared" si="64"/>
        <v>526.86584290776045</v>
      </c>
      <c r="CC70" s="59">
        <f t="shared" si="65"/>
        <v>820.19917624109371</v>
      </c>
      <c r="CD70" s="59">
        <f ca="1">AVERAGE(OFFSET($CC$3,0,0,'Données projet'!$E$12+1,1))-AVERAGE(OFFSET($H$3,0,0,'Données projet'!$E$12+1,1))</f>
        <v>281.84871057356037</v>
      </c>
      <c r="CE70" s="59">
        <f t="shared" si="94"/>
        <v>276.02211904126887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40.872943405502113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40.872943405502113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4.5999999999999996</v>
      </c>
      <c r="CT70" s="12">
        <f>IF('Données projet'!$A$140&gt;35,CT69+CS70-DB69,IF(A70&lt;'Données projet'!$A$140,$CQ$205^A70,IF(A70='Données projet'!$A$140,'Données projet'!$B$140,CT69+CS70-DB69)))</f>
        <v>302.19999999999987</v>
      </c>
      <c r="CU70" s="17">
        <f>CT70*VLOOKUP('Données projet'!$B$13,Paramètres!$A$1:$I$89,3,0)*VLOOKUP('Données projet'!$B$13,Paramètres!$A$1:$I$89,5,0)</f>
        <v>240.43031999999991</v>
      </c>
      <c r="CV70" s="13">
        <f t="shared" si="95"/>
        <v>58.532106271380506</v>
      </c>
      <c r="CW70" s="20">
        <f t="shared" si="67"/>
        <v>520.69289242265415</v>
      </c>
      <c r="CX70" s="59">
        <f t="shared" si="68"/>
        <v>814.02622575598753</v>
      </c>
      <c r="CY70" s="59">
        <f ca="1">AVERAGE(OFFSET($CX$3,0,0,'Données projet'!$E$13+1,1))-AVERAGE(OFFSET($H$3,0,0,'Données projet'!$E$13+1,1))</f>
        <v>279.49721661620544</v>
      </c>
      <c r="CZ70" s="59">
        <f t="shared" si="96"/>
        <v>275.18739333988754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49.162247031101657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49.162247031101657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6.8</v>
      </c>
      <c r="DO70" s="12">
        <f>IF('Données projet'!$A$166&gt;35,DO69+DN70-DW69,IF(A70&lt;'Données projet'!$A$166,$DL$205^A70,IF(A70='Données projet'!$A$166,'Données projet'!$B$166,DO69+DN70-DW69)))</f>
        <v>221.59999999999994</v>
      </c>
      <c r="DP70" s="17">
        <f>DO70*VLOOKUP('Données projet'!$B$14,Paramètres!$A$1:$I$89,3,0)*VLOOKUP('Données projet'!$B$14,Paramètres!$A$1:$I$89,5,0)</f>
        <v>224.70239999999995</v>
      </c>
      <c r="DQ70" s="13">
        <f t="shared" si="97"/>
        <v>55.135667706678262</v>
      </c>
      <c r="DR70" s="20">
        <f t="shared" si="70"/>
        <v>487.38463458913128</v>
      </c>
      <c r="DS70" s="59">
        <f t="shared" si="71"/>
        <v>780.7179679224646</v>
      </c>
      <c r="DT70" s="59">
        <f ca="1">AVERAGE(OFFSET($DS$3,0,0,'Données projet'!$E$14+1,1))-AVERAGE(OFFSET($H$3,0,0,'Données projet'!$E$14+1,1))</f>
        <v>308.80022073574963</v>
      </c>
      <c r="DU70" s="59">
        <f t="shared" si="98"/>
        <v>183.96267407004115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51.598658618185937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51.598658618185937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3.8</v>
      </c>
      <c r="EJ70" s="12">
        <f>IF('Données projet'!$A$192&gt;35,EJ69+EI70-ER69,IF(A70&lt;'Données projet'!$A$192,$EG$205^A70,IF(A70='Données projet'!$A$192,'Données projet'!$B$192,EJ69+EI70-ER69)))</f>
        <v>251.59999999999985</v>
      </c>
      <c r="EK70" s="17">
        <f>EJ70*VLOOKUP('Données projet'!$B$15,Paramètres!$A$1:$I$89,3,0)*VLOOKUP('Données projet'!$B$15,Paramètres!$A$1:$I$89,5,0)</f>
        <v>164.84831999999992</v>
      </c>
      <c r="EL70" s="13">
        <f t="shared" si="99"/>
        <v>41.934160358278397</v>
      </c>
      <c r="EM70" s="20">
        <f t="shared" si="73"/>
        <v>360.14615329066805</v>
      </c>
      <c r="EN70" s="59">
        <f t="shared" si="74"/>
        <v>653.47948662400131</v>
      </c>
      <c r="EO70" s="59">
        <f ca="1">AVERAGE(OFFSET($EN$3,0,0,'Données projet'!$E$15+1,1))-AVERAGE(OFFSET($H$3,0,0,'Données projet'!$E$15+1,1))</f>
        <v>178.71569711875242</v>
      </c>
      <c r="EP70" s="59">
        <f t="shared" si="100"/>
        <v>178.13848582064168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27.688122952114337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27.688122952114337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6.8</v>
      </c>
      <c r="FE70" s="12">
        <f>IF('Données projet'!$A$218&gt;35,FE69+FD70-FM69,IF(A70&lt;'Données projet'!$A$218,$FB$205^A70,IF(A70='Données projet'!$A$218,'Données projet'!$B$218,FE69+FD70-FM69)))</f>
        <v>221.59999999999994</v>
      </c>
      <c r="FF70" s="17">
        <f>FE70*VLOOKUP('Données projet'!$B$16,Paramètres!$A$1:$I$89,3,0)*VLOOKUP('Données projet'!$B$16,Paramètres!$A$1:$I$89,5,0)</f>
        <v>186.67583999999997</v>
      </c>
      <c r="FG70" s="13">
        <f t="shared" si="101"/>
        <v>46.804275023026932</v>
      </c>
      <c r="FH70" s="20">
        <f t="shared" si="76"/>
        <v>406.64453366510514</v>
      </c>
      <c r="FI70" s="59">
        <f t="shared" si="77"/>
        <v>699.97786699843846</v>
      </c>
      <c r="FJ70" s="59">
        <f ca="1">AVERAGE(OFFSET($FI$3,0,0,'Données projet'!$E$16+1,1))-AVERAGE(OFFSET($H$3,0,0,'Données projet'!$E$16+1,1))</f>
        <v>247.22536892257716</v>
      </c>
      <c r="FK70" s="59">
        <f t="shared" si="102"/>
        <v>147.97952262756075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42.86657792895447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42.86657792895447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6">
        <f t="shared" si="56"/>
        <v>367.7928099081056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5.2</v>
      </c>
      <c r="N71" s="13">
        <f>IF('Données projet'!$A$36&gt;35,N70+M71-V70,IF(A71&lt;'Données projet'!$A$36,$K$205^A71,IF(A71='Données projet'!$A$36,'Données projet'!$B$36,N70+M71-V70)))</f>
        <v>238.60000000000022</v>
      </c>
      <c r="O71" s="13">
        <f>N71*VLOOKUP('Données projet'!$B$9,Paramètres!$A$1:$I$89,3,0)*VLOOKUP('Données projet'!$B$9,Paramètres!$A$1:$I$89,5,0)</f>
        <v>208.44096000000022</v>
      </c>
      <c r="P71" s="13">
        <f t="shared" si="87"/>
        <v>51.594748621124261</v>
      </c>
      <c r="Q71" s="20">
        <f t="shared" si="54"/>
        <v>452.89552584845842</v>
      </c>
      <c r="R71" s="59">
        <f t="shared" si="55"/>
        <v>746.22885918179168</v>
      </c>
      <c r="S71" s="59">
        <f ca="1">AVERAGE(OFFSET($R$3,0,0,'Données projet'!$E$9+1,1))-AVERAGE(OFFSET($H$3,0,0,'Données projet'!$E$9+1,1))</f>
        <v>253.73326067725128</v>
      </c>
      <c r="T71" s="59">
        <f t="shared" si="88"/>
        <v>317.76427047458026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64.973927407088709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64.973927407088709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18</v>
      </c>
      <c r="AI71" s="13">
        <f>IF('Données projet'!$A$62&gt;35,AI70+AH71-AQ70,IF(A71&lt;'Données projet'!$A$62,$AF$205^A71,IF(A71='Données projet'!$A$62,'Données projet'!$B$62,AI70+AH71-AQ70)))</f>
        <v>675.00000000000011</v>
      </c>
      <c r="AJ71" s="13">
        <f>AI71*VLOOKUP('Données projet'!$B$10,Paramètres!$A$1:$I$89,3,0)*VLOOKUP('Données projet'!$B$10,Paramètres!$A$1:$I$89,5,0)</f>
        <v>324.67500000000007</v>
      </c>
      <c r="AK71" s="13">
        <f t="shared" si="89"/>
        <v>76.325255719010826</v>
      </c>
      <c r="AL71" s="20">
        <f t="shared" si="58"/>
        <v>698.40877871061059</v>
      </c>
      <c r="AM71" s="59">
        <f t="shared" si="59"/>
        <v>991.74211204394396</v>
      </c>
      <c r="AN71" s="59">
        <f ca="1">AVERAGE(OFFSET($AM$3,0,0,'Données projet'!$E$10+1,1))-AVERAGE(OFFSET($H$3,0,0,'Données projet'!$E$10+1,1))</f>
        <v>349.65790906807746</v>
      </c>
      <c r="AO71" s="59">
        <f t="shared" si="90"/>
        <v>291.88925884278888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103.49989576202044</v>
      </c>
      <c r="AV71" s="21">
        <f>EXP(-LN(2)/25)*AV70+(1-EXP(-LN(2)/25))/(LN(2)/25)*Calculateur!AQ71*Calculateur!AS71*VLOOKUP('Données projet'!$B$10,Paramètres!$A$1:$I$89,3,0)*0.475*44/12</f>
        <v>14.363727998015708</v>
      </c>
      <c r="AW71" s="21">
        <f>EXP(-LN(2)/2)*AW70+(1-EXP(-LN(2)/2))/(LN(2)/2)*AQ71*AT71*VLOOKUP('Données projet'!$B$10,Paramètres!$A$1:$I$89,3,0)*0.475*44/12</f>
        <v>9.7382736523788632E-8</v>
      </c>
      <c r="AX71" s="21">
        <f t="shared" si="60"/>
        <v>117.86362385741889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4.5999999999999996</v>
      </c>
      <c r="BD71" s="12">
        <f>IF('Données projet'!$A$88&gt;35,BD70+BC71-BL70,IF(A71&lt;'Données projet'!$A$88,$BA$205^A71,IF(A71='Données projet'!$A$88,'Données projet'!$B$88,BD70+BC71-BL70)))</f>
        <v>306.7999999999999</v>
      </c>
      <c r="BE71" s="13">
        <f>BD71*VLOOKUP('Données projet'!$B$11,Paramètres!$A$1:$I$89,3,0)*VLOOKUP('Données projet'!$B$11,Paramètres!$A$1:$I$89,5,0)</f>
        <v>244.09007999999994</v>
      </c>
      <c r="BF71" s="13">
        <f t="shared" si="91"/>
        <v>59.318663780863893</v>
      </c>
      <c r="BG71" s="20">
        <f t="shared" si="61"/>
        <v>528.43689541833794</v>
      </c>
      <c r="BH71" s="59">
        <f t="shared" si="62"/>
        <v>821.77022875167131</v>
      </c>
      <c r="BI71" s="59">
        <f ca="1">AVERAGE(OFFSET($BH$3,0,0,'Données projet'!$E$11+1,1))-AVERAGE(OFFSET($H$3,0,0,'Données projet'!$E$11+1,1))</f>
        <v>279.49721661620544</v>
      </c>
      <c r="BJ71" s="59">
        <f t="shared" si="92"/>
        <v>275.18739333988754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48.198205352831572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48.198205352831572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3.8</v>
      </c>
      <c r="BY71" s="12">
        <f>IF('Données projet'!$A$114&gt;35,BY70+BX71-CG70,IF(A71&lt;'Données projet'!$A$114,$BV$205^A71,IF(A71='Données projet'!$A$114,'Données projet'!$B$114,BY70+BX71-CG70)))</f>
        <v>255.39999999999986</v>
      </c>
      <c r="BZ71" s="13">
        <f>BY71*VLOOKUP('Données projet'!$B$12,Paramètres!$A$1:$I$89,3,0)*VLOOKUP('Données projet'!$B$12,Paramètres!$A$1:$I$89,5,0)</f>
        <v>247.0228799999999</v>
      </c>
      <c r="CA71" s="13">
        <f t="shared" si="93"/>
        <v>59.947991603336583</v>
      </c>
      <c r="CB71" s="20">
        <f t="shared" si="64"/>
        <v>534.64093470914429</v>
      </c>
      <c r="CC71" s="59">
        <f t="shared" si="65"/>
        <v>827.97426804247766</v>
      </c>
      <c r="CD71" s="59">
        <f ca="1">AVERAGE(OFFSET($CC$3,0,0,'Données projet'!$E$12+1,1))-AVERAGE(OFFSET($H$3,0,0,'Données projet'!$E$12+1,1))</f>
        <v>281.84871057356037</v>
      </c>
      <c r="CE71" s="59">
        <f t="shared" si="94"/>
        <v>276.02211904126887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40.071449915354059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40.071449915354059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4.5999999999999996</v>
      </c>
      <c r="CT71" s="12">
        <f>IF('Données projet'!$A$140&gt;35,CT70+CS71-DB70,IF(A71&lt;'Données projet'!$A$140,$CQ$205^A71,IF(A71='Données projet'!$A$140,'Données projet'!$B$140,CT70+CS71-DB70)))</f>
        <v>306.7999999999999</v>
      </c>
      <c r="CU71" s="17">
        <f>CT71*VLOOKUP('Données projet'!$B$13,Paramètres!$A$1:$I$89,3,0)*VLOOKUP('Données projet'!$B$13,Paramètres!$A$1:$I$89,5,0)</f>
        <v>244.09007999999994</v>
      </c>
      <c r="CV71" s="13">
        <f t="shared" si="95"/>
        <v>59.318663780863893</v>
      </c>
      <c r="CW71" s="20">
        <f t="shared" si="67"/>
        <v>528.43689541833794</v>
      </c>
      <c r="CX71" s="59">
        <f t="shared" si="68"/>
        <v>821.77022875167131</v>
      </c>
      <c r="CY71" s="59">
        <f ca="1">AVERAGE(OFFSET($CX$3,0,0,'Données projet'!$E$13+1,1))-AVERAGE(OFFSET($H$3,0,0,'Données projet'!$E$13+1,1))</f>
        <v>279.49721661620544</v>
      </c>
      <c r="CZ71" s="59">
        <f t="shared" si="96"/>
        <v>275.18739333988754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48.198205352831572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48.198205352831572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6.8</v>
      </c>
      <c r="DO71" s="12">
        <f>IF('Données projet'!$A$166&gt;35,DO70+DN71-DW70,IF(A71&lt;'Données projet'!$A$166,$DL$205^A71,IF(A71='Données projet'!$A$166,'Données projet'!$B$166,DO70+DN71-DW70)))</f>
        <v>228.39999999999995</v>
      </c>
      <c r="DP71" s="17">
        <f>DO71*VLOOKUP('Données projet'!$B$14,Paramètres!$A$1:$I$89,3,0)*VLOOKUP('Données projet'!$B$14,Paramètres!$A$1:$I$89,5,0)</f>
        <v>231.59759999999997</v>
      </c>
      <c r="DQ71" s="13">
        <f t="shared" si="97"/>
        <v>56.627980714948151</v>
      </c>
      <c r="DR71" s="20">
        <f t="shared" si="70"/>
        <v>501.99288641186791</v>
      </c>
      <c r="DS71" s="59">
        <f t="shared" si="71"/>
        <v>795.32621974520123</v>
      </c>
      <c r="DT71" s="59">
        <f ca="1">AVERAGE(OFFSET($DS$3,0,0,'Données projet'!$E$14+1,1))-AVERAGE(OFFSET($H$3,0,0,'Données projet'!$E$14+1,1))</f>
        <v>308.80022073574963</v>
      </c>
      <c r="DU71" s="59">
        <f t="shared" si="98"/>
        <v>183.96267407004115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50.586840394757459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50.586840394757459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3.8</v>
      </c>
      <c r="EJ71" s="12">
        <f>IF('Données projet'!$A$192&gt;35,EJ70+EI71-ER70,IF(A71&lt;'Données projet'!$A$192,$EG$205^A71,IF(A71='Données projet'!$A$192,'Données projet'!$B$192,EJ70+EI71-ER70)))</f>
        <v>255.39999999999986</v>
      </c>
      <c r="EK71" s="17">
        <f>EJ71*VLOOKUP('Données projet'!$B$15,Paramètres!$A$1:$I$89,3,0)*VLOOKUP('Données projet'!$B$15,Paramètres!$A$1:$I$89,5,0)</f>
        <v>167.33807999999991</v>
      </c>
      <c r="EL71" s="13">
        <f t="shared" si="99"/>
        <v>42.493295553601477</v>
      </c>
      <c r="EM71" s="20">
        <f t="shared" si="73"/>
        <v>365.45631242252239</v>
      </c>
      <c r="EN71" s="59">
        <f t="shared" si="74"/>
        <v>658.78964575585564</v>
      </c>
      <c r="EO71" s="59">
        <f ca="1">AVERAGE(OFFSET($EN$3,0,0,'Données projet'!$E$15+1,1))-AVERAGE(OFFSET($H$3,0,0,'Données projet'!$E$15+1,1))</f>
        <v>178.71569711875242</v>
      </c>
      <c r="EP71" s="59">
        <f t="shared" si="100"/>
        <v>178.13848582064168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27.145175749110816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27.145175749110816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6.8</v>
      </c>
      <c r="FE71" s="12">
        <f>IF('Données projet'!$A$218&gt;35,FE70+FD71-FM70,IF(A71&lt;'Données projet'!$A$218,$FB$205^A71,IF(A71='Données projet'!$A$218,'Données projet'!$B$218,FE70+FD71-FM70)))</f>
        <v>228.39999999999995</v>
      </c>
      <c r="FF71" s="17">
        <f>FE71*VLOOKUP('Données projet'!$B$16,Paramètres!$A$1:$I$89,3,0)*VLOOKUP('Données projet'!$B$16,Paramètres!$A$1:$I$89,5,0)</f>
        <v>192.40415999999999</v>
      </c>
      <c r="FG71" s="13">
        <f t="shared" si="101"/>
        <v>48.071088890795593</v>
      </c>
      <c r="FH71" s="20">
        <f t="shared" si="76"/>
        <v>418.82772515146894</v>
      </c>
      <c r="FI71" s="59">
        <f t="shared" si="77"/>
        <v>712.1610584848022</v>
      </c>
      <c r="FJ71" s="59">
        <f ca="1">AVERAGE(OFFSET($FI$3,0,0,'Données projet'!$E$16+1,1))-AVERAGE(OFFSET($H$3,0,0,'Données projet'!$E$16+1,1))</f>
        <v>247.22536892257716</v>
      </c>
      <c r="FK71" s="59">
        <f t="shared" si="102"/>
        <v>147.97952262756075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42.025990481798502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42.025990481798502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6">
        <f t="shared" si="56"/>
        <v>368.85766474535927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5.2</v>
      </c>
      <c r="N72" s="13">
        <f>IF('Données projet'!$A$36&gt;35,N71+M72-V71,IF(A72&lt;'Données projet'!$A$36,$K$205^A72,IF(A72='Données projet'!$A$36,'Données projet'!$B$36,N71+M72-V71)))</f>
        <v>243.80000000000021</v>
      </c>
      <c r="O72" s="13">
        <f>N72*VLOOKUP('Données projet'!$B$9,Paramètres!$A$1:$I$89,3,0)*VLOOKUP('Données projet'!$B$9,Paramètres!$A$1:$I$89,5,0)</f>
        <v>212.98368000000022</v>
      </c>
      <c r="P72" s="13">
        <f t="shared" si="87"/>
        <v>52.587058525970413</v>
      </c>
      <c r="Q72" s="20">
        <f t="shared" si="54"/>
        <v>462.53570293273214</v>
      </c>
      <c r="R72" s="59">
        <f t="shared" si="55"/>
        <v>755.86903626606545</v>
      </c>
      <c r="S72" s="59">
        <f ca="1">AVERAGE(OFFSET($R$3,0,0,'Données projet'!$E$9+1,1))-AVERAGE(OFFSET($H$3,0,0,'Données projet'!$E$9+1,1))</f>
        <v>253.73326067725128</v>
      </c>
      <c r="T72" s="59">
        <f t="shared" si="88"/>
        <v>317.76427047458026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63.699828320818263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63.699828320818263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18</v>
      </c>
      <c r="AI72" s="13">
        <f>IF('Données projet'!$A$62&gt;35,AI71+AH72-AQ71,IF(A72&lt;'Données projet'!$A$62,$AF$205^A72,IF(A72='Données projet'!$A$62,'Données projet'!$B$62,AI71+AH72-AQ71)))</f>
        <v>693.00000000000011</v>
      </c>
      <c r="AJ72" s="13">
        <f>AI72*VLOOKUP('Données projet'!$B$10,Paramètres!$A$1:$I$89,3,0)*VLOOKUP('Données projet'!$B$10,Paramètres!$A$1:$I$89,5,0)</f>
        <v>333.33300000000003</v>
      </c>
      <c r="AK72" s="13">
        <f t="shared" si="89"/>
        <v>78.120918433534044</v>
      </c>
      <c r="AL72" s="20">
        <f t="shared" si="58"/>
        <v>716.61557460507174</v>
      </c>
      <c r="AM72" s="59">
        <f t="shared" si="59"/>
        <v>1009.948907938405</v>
      </c>
      <c r="AN72" s="59">
        <f ca="1">AVERAGE(OFFSET($AM$3,0,0,'Données projet'!$E$10+1,1))-AVERAGE(OFFSET($H$3,0,0,'Données projet'!$E$10+1,1))</f>
        <v>349.65790906807746</v>
      </c>
      <c r="AO72" s="59">
        <f t="shared" si="90"/>
        <v>291.88925884278888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101.4703259348302</v>
      </c>
      <c r="AV72" s="21">
        <f>EXP(-LN(2)/25)*AV71+(1-EXP(-LN(2)/25))/(LN(2)/25)*Calculateur!AQ72*Calculateur!AS72*VLOOKUP('Données projet'!$B$10,Paramètres!$A$1:$I$89,3,0)*0.475*44/12</f>
        <v>13.970951100554341</v>
      </c>
      <c r="AW72" s="21">
        <f>EXP(-LN(2)/2)*AW71+(1-EXP(-LN(2)/2))/(LN(2)/2)*AQ72*AT72*VLOOKUP('Données projet'!$B$10,Paramètres!$A$1:$I$89,3,0)*0.475*44/12</f>
        <v>6.8859993366473818E-8</v>
      </c>
      <c r="AX72" s="21">
        <f t="shared" si="60"/>
        <v>115.44127710424453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4.5999999999999996</v>
      </c>
      <c r="BD72" s="12">
        <f>IF('Données projet'!$A$88&gt;35,BD71+BC72-BL71,IF(A72&lt;'Données projet'!$A$88,$BA$205^A72,IF(A72='Données projet'!$A$88,'Données projet'!$B$88,BD71+BC72-BL71)))</f>
        <v>311.39999999999992</v>
      </c>
      <c r="BE72" s="13">
        <f>BD72*VLOOKUP('Données projet'!$B$11,Paramètres!$A$1:$I$89,3,0)*VLOOKUP('Données projet'!$B$11,Paramètres!$A$1:$I$89,5,0)</f>
        <v>247.74983999999995</v>
      </c>
      <c r="BF72" s="13">
        <f t="shared" si="91"/>
        <v>60.103849700617872</v>
      </c>
      <c r="BG72" s="20">
        <f t="shared" si="61"/>
        <v>536.17850956190932</v>
      </c>
      <c r="BH72" s="59">
        <f t="shared" si="62"/>
        <v>829.51184289524258</v>
      </c>
      <c r="BI72" s="59">
        <f ca="1">AVERAGE(OFFSET($BH$3,0,0,'Données projet'!$E$11+1,1))-AVERAGE(OFFSET($H$3,0,0,'Données projet'!$E$11+1,1))</f>
        <v>279.49721661620544</v>
      </c>
      <c r="BJ72" s="59">
        <f t="shared" si="92"/>
        <v>275.18739333988754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47.253067943864998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47.253067943864998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3.8</v>
      </c>
      <c r="BY72" s="12">
        <f>IF('Données projet'!$A$114&gt;35,BY71+BX72-CG71,IF(A72&lt;'Données projet'!$A$114,$BV$205^A72,IF(A72='Données projet'!$A$114,'Données projet'!$B$114,BY71+BX72-CG71)))</f>
        <v>259.19999999999987</v>
      </c>
      <c r="BZ72" s="13">
        <f>BY72*VLOOKUP('Données projet'!$B$12,Paramètres!$A$1:$I$89,3,0)*VLOOKUP('Données projet'!$B$12,Paramètres!$A$1:$I$89,5,0)</f>
        <v>250.69823999999988</v>
      </c>
      <c r="CA72" s="13">
        <f t="shared" si="93"/>
        <v>60.735434160476743</v>
      </c>
      <c r="CB72" s="20">
        <f t="shared" si="64"/>
        <v>542.4136491628301</v>
      </c>
      <c r="CC72" s="59">
        <f t="shared" si="65"/>
        <v>835.74698249616335</v>
      </c>
      <c r="CD72" s="59">
        <f ca="1">AVERAGE(OFFSET($CC$3,0,0,'Données projet'!$E$12+1,1))-AVERAGE(OFFSET($H$3,0,0,'Données projet'!$E$12+1,1))</f>
        <v>281.84871057356037</v>
      </c>
      <c r="CE72" s="59">
        <f t="shared" si="94"/>
        <v>276.02211904126887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39.285673223685052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39.285673223685052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4.5999999999999996</v>
      </c>
      <c r="CT72" s="12">
        <f>IF('Données projet'!$A$140&gt;35,CT71+CS72-DB71,IF(A72&lt;'Données projet'!$A$140,$CQ$205^A72,IF(A72='Données projet'!$A$140,'Données projet'!$B$140,CT71+CS72-DB71)))</f>
        <v>311.39999999999992</v>
      </c>
      <c r="CU72" s="17">
        <f>CT72*VLOOKUP('Données projet'!$B$13,Paramètres!$A$1:$I$89,3,0)*VLOOKUP('Données projet'!$B$13,Paramètres!$A$1:$I$89,5,0)</f>
        <v>247.74983999999995</v>
      </c>
      <c r="CV72" s="13">
        <f t="shared" si="95"/>
        <v>60.103849700617872</v>
      </c>
      <c r="CW72" s="20">
        <f t="shared" si="67"/>
        <v>536.17850956190932</v>
      </c>
      <c r="CX72" s="59">
        <f t="shared" si="68"/>
        <v>829.51184289524258</v>
      </c>
      <c r="CY72" s="59">
        <f ca="1">AVERAGE(OFFSET($CX$3,0,0,'Données projet'!$E$13+1,1))-AVERAGE(OFFSET($H$3,0,0,'Données projet'!$E$13+1,1))</f>
        <v>279.49721661620544</v>
      </c>
      <c r="CZ72" s="59">
        <f t="shared" si="96"/>
        <v>275.18739333988754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47.253067943864998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47.253067943864998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6.8</v>
      </c>
      <c r="DO72" s="12">
        <f>IF('Données projet'!$A$166&gt;35,DO71+DN72-DW71,IF(A72&lt;'Données projet'!$A$166,$DL$205^A72,IF(A72='Données projet'!$A$166,'Données projet'!$B$166,DO71+DN72-DW71)))</f>
        <v>235.19999999999996</v>
      </c>
      <c r="DP72" s="17">
        <f>DO72*VLOOKUP('Données projet'!$B$14,Paramètres!$A$1:$I$89,3,0)*VLOOKUP('Données projet'!$B$14,Paramètres!$A$1:$I$89,5,0)</f>
        <v>238.49279999999996</v>
      </c>
      <c r="DQ72" s="13">
        <f t="shared" si="97"/>
        <v>58.115130258576542</v>
      </c>
      <c r="DR72" s="20">
        <f t="shared" si="70"/>
        <v>516.59214520035414</v>
      </c>
      <c r="DS72" s="59">
        <f t="shared" si="71"/>
        <v>809.92547853368751</v>
      </c>
      <c r="DT72" s="59">
        <f ca="1">AVERAGE(OFFSET($DS$3,0,0,'Données projet'!$E$14+1,1))-AVERAGE(OFFSET($H$3,0,0,'Données projet'!$E$14+1,1))</f>
        <v>308.80022073574963</v>
      </c>
      <c r="DU72" s="59">
        <f t="shared" si="98"/>
        <v>183.96267407004115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49.594863309542234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49.594863309542234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3.8</v>
      </c>
      <c r="EJ72" s="12">
        <f>IF('Données projet'!$A$192&gt;35,EJ71+EI72-ER71,IF(A72&lt;'Données projet'!$A$192,$EG$205^A72,IF(A72='Données projet'!$A$192,'Données projet'!$B$192,EJ71+EI72-ER71)))</f>
        <v>259.19999999999987</v>
      </c>
      <c r="EK72" s="17">
        <f>EJ72*VLOOKUP('Données projet'!$B$15,Paramètres!$A$1:$I$89,3,0)*VLOOKUP('Données projet'!$B$15,Paramètres!$A$1:$I$89,5,0)</f>
        <v>169.82783999999992</v>
      </c>
      <c r="EL72" s="13">
        <f t="shared" si="99"/>
        <v>43.051463198873776</v>
      </c>
      <c r="EM72" s="20">
        <f t="shared" si="73"/>
        <v>370.76478640470503</v>
      </c>
      <c r="EN72" s="59">
        <f t="shared" si="74"/>
        <v>664.09811973803835</v>
      </c>
      <c r="EO72" s="59">
        <f ca="1">AVERAGE(OFFSET($EN$3,0,0,'Données projet'!$E$15+1,1))-AVERAGE(OFFSET($H$3,0,0,'Données projet'!$E$15+1,1))</f>
        <v>178.71569711875242</v>
      </c>
      <c r="EP72" s="59">
        <f t="shared" si="100"/>
        <v>178.13848582064168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26.612875409593098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26.612875409593098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6.8</v>
      </c>
      <c r="FE72" s="12">
        <f>IF('Données projet'!$A$218&gt;35,FE71+FD72-FM71,IF(A72&lt;'Données projet'!$A$218,$FB$205^A72,IF(A72='Données projet'!$A$218,'Données projet'!$B$218,FE71+FD72-FM71)))</f>
        <v>235.19999999999996</v>
      </c>
      <c r="FF72" s="17">
        <f>FE72*VLOOKUP('Données projet'!$B$16,Paramètres!$A$1:$I$89,3,0)*VLOOKUP('Données projet'!$B$16,Paramètres!$A$1:$I$89,5,0)</f>
        <v>198.13247999999999</v>
      </c>
      <c r="FG72" s="13">
        <f t="shared" si="101"/>
        <v>49.333519530262095</v>
      </c>
      <c r="FH72" s="20">
        <f t="shared" si="76"/>
        <v>431.00328251520642</v>
      </c>
      <c r="FI72" s="59">
        <f t="shared" si="77"/>
        <v>724.33661584853974</v>
      </c>
      <c r="FJ72" s="59">
        <f ca="1">AVERAGE(OFFSET($FI$3,0,0,'Données projet'!$E$16+1,1))-AVERAGE(OFFSET($H$3,0,0,'Données projet'!$E$16+1,1))</f>
        <v>247.22536892257716</v>
      </c>
      <c r="FK72" s="59">
        <f t="shared" si="102"/>
        <v>147.97952262756075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41.201886441773546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41.201886441773546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6">
        <f t="shared" si="56"/>
        <v>369.92213676137879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249</v>
      </c>
      <c r="L73" s="12">
        <f>VLOOKUP(A73,'Données projet'!$A$35:$I$55,9,0)</f>
        <v>5.2</v>
      </c>
      <c r="M73" s="12">
        <f t="array" ref="M73">INDEX(L:L,MIN(IF(ISNUMBER(L73:L269),ROW(L73:L269),"")))</f>
        <v>5.2</v>
      </c>
      <c r="N73" s="13">
        <f>IF('Données projet'!$A$36&gt;35,N72+M73-V72,IF(A73&lt;'Données projet'!$A$36,$K$205^A73,IF(A73='Données projet'!$A$36,'Données projet'!$B$36,N72+M73-V72)))</f>
        <v>249.0000000000002</v>
      </c>
      <c r="O73" s="13">
        <f>N73*VLOOKUP('Données projet'!$B$9,Paramètres!$A$1:$I$89,3,0)*VLOOKUP('Données projet'!$B$9,Paramètres!$A$1:$I$89,5,0)</f>
        <v>217.52640000000019</v>
      </c>
      <c r="P73" s="13">
        <f t="shared" si="87"/>
        <v>53.576907690651304</v>
      </c>
      <c r="Q73" s="20">
        <f t="shared" si="54"/>
        <v>472.17159422788467</v>
      </c>
      <c r="R73" s="59">
        <f t="shared" si="55"/>
        <v>765.50492756121798</v>
      </c>
      <c r="S73" s="59">
        <f ca="1">AVERAGE(OFFSET($R$3,0,0,'Données projet'!$E$9+1,1))-AVERAGE(OFFSET($H$3,0,0,'Données projet'!$E$9+1,1))</f>
        <v>253.73326067725128</v>
      </c>
      <c r="T73" s="59">
        <f t="shared" si="88"/>
        <v>317.76427047458026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62.450713540505873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62.450713540505873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711</v>
      </c>
      <c r="AG73" s="12">
        <f>VLOOKUP(A73,'Données projet'!$A$61:$I$81,9,0)</f>
        <v>18</v>
      </c>
      <c r="AH73" s="12">
        <f t="array" ref="AH73">INDEX(AG:AG,MIN(IF(ISNUMBER(AG73:AG269),ROW(AG73:AG269),"")))</f>
        <v>18</v>
      </c>
      <c r="AI73" s="13">
        <f>IF('Données projet'!$A$62&gt;35,AI72+AH73-AQ72,IF(A73&lt;'Données projet'!$A$62,$AF$205^A73,IF(A73='Données projet'!$A$62,'Données projet'!$B$62,AI72+AH73-AQ72)))</f>
        <v>711.00000000000011</v>
      </c>
      <c r="AJ73" s="13">
        <f>AI73*VLOOKUP('Données projet'!$B$10,Paramètres!$A$1:$I$89,3,0)*VLOOKUP('Données projet'!$B$10,Paramètres!$A$1:$I$89,5,0)</f>
        <v>341.9910000000001</v>
      </c>
      <c r="AK73" s="13">
        <f t="shared" si="89"/>
        <v>79.911159737819077</v>
      </c>
      <c r="AL73" s="20">
        <f t="shared" si="58"/>
        <v>734.81292821003501</v>
      </c>
      <c r="AM73" s="59">
        <f t="shared" si="59"/>
        <v>1028.1462615433684</v>
      </c>
      <c r="AN73" s="59">
        <f ca="1">AVERAGE(OFFSET($AM$3,0,0,'Données projet'!$E$10+1,1))-AVERAGE(OFFSET($H$3,0,0,'Données projet'!$E$10+1,1))</f>
        <v>349.65790906807746</v>
      </c>
      <c r="AO73" s="59">
        <f t="shared" si="90"/>
        <v>291.88925884278888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48</v>
      </c>
      <c r="AR73" s="16">
        <f>IF(ISNA(VLOOKUP(A73,'Données projet'!$A$61:$I$81,5,0)),0%,VLOOKUP(A73,'Données projet'!$A$61:$I$81,5,0)*VLOOKUP('Données projet'!$B$10,Paramètres!$A$1:$I$89,7,0))</f>
        <v>0.55000000000000004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116.32580081498925</v>
      </c>
      <c r="AV73" s="21">
        <f>EXP(-LN(2)/25)*AV72+(1-EXP(-LN(2)/25))/(LN(2)/25)*Calculateur!AQ73*Calculateur!AS73*VLOOKUP('Données projet'!$B$10,Paramètres!$A$1:$I$89,3,0)*0.475*44/12</f>
        <v>13.588914708009295</v>
      </c>
      <c r="AW73" s="21">
        <f>EXP(-LN(2)/2)*AW72+(1-EXP(-LN(2)/2))/(LN(2)/2)*AQ73*AT73*VLOOKUP('Données projet'!$B$10,Paramètres!$A$1:$I$89,3,0)*0.475*44/12</f>
        <v>4.8691368261894316E-8</v>
      </c>
      <c r="AX73" s="21">
        <f t="shared" si="60"/>
        <v>129.9147155716899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316</v>
      </c>
      <c r="BB73" s="12">
        <f>VLOOKUP(A73,'Données projet'!$A$87:$I$107,9,0)</f>
        <v>4.5999999999999996</v>
      </c>
      <c r="BC73" s="12">
        <f t="array" ref="BC73">INDEX(BB:BB,MIN(IF(ISNUMBER(BB73:BB269),ROW(BB73:BB269),"")))</f>
        <v>4.5999999999999996</v>
      </c>
      <c r="BD73" s="12">
        <f>IF('Données projet'!$A$88&gt;35,BD72+BC73-BL72,IF(A73&lt;'Données projet'!$A$88,$BA$205^A73,IF(A73='Données projet'!$A$88,'Données projet'!$B$88,BD72+BC73-BL72)))</f>
        <v>315.99999999999994</v>
      </c>
      <c r="BE73" s="13">
        <f>BD73*VLOOKUP('Données projet'!$B$11,Paramètres!$A$1:$I$89,3,0)*VLOOKUP('Données projet'!$B$11,Paramètres!$A$1:$I$89,5,0)</f>
        <v>251.40959999999995</v>
      </c>
      <c r="BF73" s="13">
        <f t="shared" si="91"/>
        <v>60.887686632376123</v>
      </c>
      <c r="BG73" s="20">
        <f t="shared" si="61"/>
        <v>543.917774218055</v>
      </c>
      <c r="BH73" s="59">
        <f t="shared" si="62"/>
        <v>837.25110755138826</v>
      </c>
      <c r="BI73" s="59">
        <f ca="1">AVERAGE(OFFSET($BH$3,0,0,'Données projet'!$E$11+1,1))-AVERAGE(OFFSET($H$3,0,0,'Données projet'!$E$11+1,1))</f>
        <v>279.49721661620544</v>
      </c>
      <c r="BJ73" s="59">
        <f t="shared" si="92"/>
        <v>275.18739333988754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13</v>
      </c>
      <c r="BM73" s="16">
        <f>IF(ISNA(VLOOKUP(A73,'Données projet'!$A$87:$I$107,5,0)),0%,VLOOKUP(A73,'Données projet'!$A$87:$I$107,5,0)*VLOOKUP('Données projet'!$B$11,Paramètres!$A$1:$I$89,7,0))</f>
        <v>0.53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52.386303394971065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52.386303394971065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263</v>
      </c>
      <c r="BW73" s="12">
        <f>VLOOKUP(A73,'Données projet'!$A$113:$I$133,9,0)</f>
        <v>3.8</v>
      </c>
      <c r="BX73" s="12">
        <f t="array" ref="BX73">INDEX(BW:BW,MIN(IF(ISNUMBER(BW73:BW269),ROW(BW73:BW269),"")))</f>
        <v>3.8</v>
      </c>
      <c r="BY73" s="12">
        <f>IF('Données projet'!$A$114&gt;35,BY72+BX73-CG72,IF(A73&lt;'Données projet'!$A$114,$BV$205^A73,IF(A73='Données projet'!$A$114,'Données projet'!$B$114,BY72+BX73-CG72)))</f>
        <v>262.99999999999989</v>
      </c>
      <c r="BZ73" s="13">
        <f>BY73*VLOOKUP('Données projet'!$B$12,Paramètres!$A$1:$I$89,3,0)*VLOOKUP('Données projet'!$B$12,Paramètres!$A$1:$I$89,5,0)</f>
        <v>254.37359999999987</v>
      </c>
      <c r="CA73" s="13">
        <f t="shared" si="93"/>
        <v>61.521534056516153</v>
      </c>
      <c r="CB73" s="20">
        <f t="shared" si="64"/>
        <v>550.18402514843217</v>
      </c>
      <c r="CC73" s="59">
        <f t="shared" si="65"/>
        <v>843.51735848176554</v>
      </c>
      <c r="CD73" s="59">
        <f ca="1">AVERAGE(OFFSET($CC$3,0,0,'Données projet'!$E$12+1,1))-AVERAGE(OFFSET($H$3,0,0,'Données projet'!$E$12+1,1))</f>
        <v>281.84871057356037</v>
      </c>
      <c r="CE73" s="59">
        <f t="shared" si="94"/>
        <v>276.02211904126887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10</v>
      </c>
      <c r="CH73" s="16">
        <f>IF(ISNA(VLOOKUP(A73,'Données projet'!$A$113:$I$133,5,0)),0%,VLOOKUP(A73,'Données projet'!$A$113:$I$133,5,0)*VLOOKUP('Données projet'!$B$12,Paramètres!$A$1:$I$89,7,0))</f>
        <v>0.43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43.112912223325573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43.112912223325573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316</v>
      </c>
      <c r="CR73" s="12">
        <f>VLOOKUP(A73,'Données projet'!$A$139:$I$159,9,0)</f>
        <v>4.5999999999999996</v>
      </c>
      <c r="CS73" s="12">
        <f t="array" ref="CS73">INDEX(CR:CR,MIN(IF(ISNUMBER(CR73:CR269),ROW(CR73:CR269),"")))</f>
        <v>4.5999999999999996</v>
      </c>
      <c r="CT73" s="12">
        <f>IF('Données projet'!$A$140&gt;35,CT72+CS73-DB72,IF(A73&lt;'Données projet'!$A$140,$CQ$205^A73,IF(A73='Données projet'!$A$140,'Données projet'!$B$140,CT72+CS73-DB72)))</f>
        <v>315.99999999999994</v>
      </c>
      <c r="CU73" s="17">
        <f>CT73*VLOOKUP('Données projet'!$B$13,Paramètres!$A$1:$I$89,3,0)*VLOOKUP('Données projet'!$B$13,Paramètres!$A$1:$I$89,5,0)</f>
        <v>251.40959999999995</v>
      </c>
      <c r="CV73" s="13">
        <f t="shared" si="95"/>
        <v>60.887686632376123</v>
      </c>
      <c r="CW73" s="20">
        <f t="shared" si="67"/>
        <v>543.917774218055</v>
      </c>
      <c r="CX73" s="59">
        <f t="shared" si="68"/>
        <v>837.25110755138826</v>
      </c>
      <c r="CY73" s="59">
        <f ca="1">AVERAGE(OFFSET($CX$3,0,0,'Données projet'!$E$13+1,1))-AVERAGE(OFFSET($H$3,0,0,'Données projet'!$E$13+1,1))</f>
        <v>279.49721661620544</v>
      </c>
      <c r="CZ73" s="59">
        <f t="shared" si="96"/>
        <v>275.18739333988754</v>
      </c>
      <c r="DA73" s="15">
        <f>IF(ISNA(VLOOKUP(A73,'Données projet'!$A$139:$I$159,3,0)),0,VLOOKUP(A73,'Données projet'!$A$139:$I$159,3,0))</f>
        <v>12</v>
      </c>
      <c r="DB73" s="15">
        <f>IF(ISNA(VLOOKUP(A73,'Données projet'!$A$139:$I$159,4,0)),0,VLOOKUP(A73,'Données projet'!$A$139:$I$159,4,0))</f>
        <v>13</v>
      </c>
      <c r="DC73" s="16">
        <f>IF(ISNA(VLOOKUP(A73,'Données projet'!$A$139:$I$159,5,0)),0%,VLOOKUP(A73,'Données projet'!$A$139:$I$159,5,0)*VLOOKUP('Données projet'!$B$13,Paramètres!$A$1:$I$89,7,0))</f>
        <v>0.53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52.386303394971065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52.386303394971065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242</v>
      </c>
      <c r="DM73" s="12">
        <f>VLOOKUP(A73,'Données projet'!$A$165:$I$185,9,0)</f>
        <v>6.8</v>
      </c>
      <c r="DN73" s="12">
        <f t="array" ref="DN73">INDEX(DM:DM,MIN(IF(ISNUMBER(DM73:DM269),ROW(DM73:DM269),"")))</f>
        <v>6.8</v>
      </c>
      <c r="DO73" s="12">
        <f>IF('Données projet'!$A$166&gt;35,DO72+DN73-DW72,IF(A73&lt;'Données projet'!$A$166,$DL$205^A73,IF(A73='Données projet'!$A$166,'Données projet'!$B$166,DO72+DN73-DW72)))</f>
        <v>241.99999999999997</v>
      </c>
      <c r="DP73" s="17">
        <f>DO73*VLOOKUP('Données projet'!$B$14,Paramètres!$A$1:$I$89,3,0)*VLOOKUP('Données projet'!$B$14,Paramètres!$A$1:$I$89,5,0)</f>
        <v>245.38799999999998</v>
      </c>
      <c r="DQ73" s="13">
        <f t="shared" si="97"/>
        <v>59.597282764919569</v>
      </c>
      <c r="DR73" s="20">
        <f t="shared" si="70"/>
        <v>531.18270081556818</v>
      </c>
      <c r="DS73" s="59">
        <f t="shared" si="71"/>
        <v>824.51603414890155</v>
      </c>
      <c r="DT73" s="59">
        <f ca="1">AVERAGE(OFFSET($DS$3,0,0,'Données projet'!$E$14+1,1))-AVERAGE(OFFSET($H$3,0,0,'Données projet'!$E$14+1,1))</f>
        <v>308.80022073574963</v>
      </c>
      <c r="DU73" s="59">
        <f t="shared" si="98"/>
        <v>183.96267407004115</v>
      </c>
      <c r="DV73" s="15">
        <f>IF(ISNA(VLOOKUP(A73,'Données projet'!$A$165:$I$185,3,0)),0,VLOOKUP(A73,'Données projet'!$A$165:$I$185,3,0))</f>
        <v>10</v>
      </c>
      <c r="DW73" s="15">
        <f>IF(ISNA(VLOOKUP(A73,'Données projet'!$A$165:$I$185,4,0)),0,VLOOKUP(A73,'Données projet'!$A$165:$I$185,4,0))</f>
        <v>21</v>
      </c>
      <c r="DX73" s="16">
        <f>IF(ISNA(VLOOKUP(A73,'Données projet'!$A$165:$I$185,5,0)),0%,VLOOKUP(A73,'Données projet'!$A$165:$I$185,5,0)*VLOOKUP('Données projet'!$B$14,Paramètres!$A$1:$I$89,7,0))</f>
        <v>0.43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58.744489382484893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58.744489382484893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263</v>
      </c>
      <c r="EH73" s="12">
        <f>VLOOKUP(A73,'Données projet'!$A$191:$I$211,9,0)</f>
        <v>3.8</v>
      </c>
      <c r="EI73" s="12">
        <f t="array" ref="EI73">INDEX(EH:EH,MIN(IF(ISNUMBER(EH73:EH269),ROW(EH73:EH269),"")))</f>
        <v>3.8</v>
      </c>
      <c r="EJ73" s="12">
        <f>IF('Données projet'!$A$192&gt;35,EJ72+EI73-ER72,IF(A73&lt;'Données projet'!$A$192,$EG$205^A73,IF(A73='Données projet'!$A$192,'Données projet'!$B$192,EJ72+EI73-ER72)))</f>
        <v>262.99999999999989</v>
      </c>
      <c r="EK73" s="17">
        <f>EJ73*VLOOKUP('Données projet'!$B$15,Paramètres!$A$1:$I$89,3,0)*VLOOKUP('Données projet'!$B$15,Paramètres!$A$1:$I$89,5,0)</f>
        <v>172.31759999999994</v>
      </c>
      <c r="EL73" s="13">
        <f t="shared" si="99"/>
        <v>43.608679117600254</v>
      </c>
      <c r="EM73" s="20">
        <f t="shared" si="73"/>
        <v>376.07160279648701</v>
      </c>
      <c r="EN73" s="59">
        <f t="shared" si="74"/>
        <v>669.40493612982027</v>
      </c>
      <c r="EO73" s="59">
        <f ca="1">AVERAGE(OFFSET($EN$3,0,0,'Données projet'!$E$15+1,1))-AVERAGE(OFFSET($H$3,0,0,'Données projet'!$E$15+1,1))</f>
        <v>178.71569711875242</v>
      </c>
      <c r="EP73" s="59">
        <f t="shared" si="100"/>
        <v>178.13848582064168</v>
      </c>
      <c r="EQ73" s="15">
        <f>IF(ISNA(VLOOKUP(A73,'Données projet'!$A$191:$I$211,3,0)),0,VLOOKUP(A73,'Données projet'!$A$191:$I$211,3,0))</f>
        <v>12</v>
      </c>
      <c r="ER73" s="15">
        <f>IF(ISNA(VLOOKUP(A73,'Données projet'!$A$191:$I$211,4,0)),0,VLOOKUP(A73,'Données projet'!$A$191:$I$211,4,0))</f>
        <v>10</v>
      </c>
      <c r="ES73" s="16">
        <f>IF(ISNA(VLOOKUP(A73,'Données projet'!$A$191:$I$211,5,0)),0%,VLOOKUP(A73,'Données projet'!$A$191:$I$211,5,0)*VLOOKUP('Données projet'!$B$15,Paramètres!$A$1:$I$89,7,0))</f>
        <v>0.43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29.205521183543127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29.205521183543127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242</v>
      </c>
      <c r="FC73" s="12">
        <f>VLOOKUP(A73,'Données projet'!$A$217:$I$237,9,0)</f>
        <v>6.8</v>
      </c>
      <c r="FD73" s="12">
        <f t="array" ref="FD73">INDEX(FC:FC,MIN(IF(ISNUMBER(FC73:FC269),ROW(FC73:FC269),"")))</f>
        <v>6.8</v>
      </c>
      <c r="FE73" s="12">
        <f>IF('Données projet'!$A$218&gt;35,FE72+FD73-FM72,IF(A73&lt;'Données projet'!$A$218,$FB$205^A73,IF(A73='Données projet'!$A$218,'Données projet'!$B$218,FE72+FD73-FM72)))</f>
        <v>241.99999999999997</v>
      </c>
      <c r="FF73" s="17">
        <f>FE73*VLOOKUP('Données projet'!$B$16,Paramètres!$A$1:$I$89,3,0)*VLOOKUP('Données projet'!$B$16,Paramètres!$A$1:$I$89,5,0)</f>
        <v>203.86080000000001</v>
      </c>
      <c r="FG73" s="13">
        <f t="shared" si="101"/>
        <v>50.591708220421786</v>
      </c>
      <c r="FH73" s="20">
        <f t="shared" si="76"/>
        <v>443.17145181723458</v>
      </c>
      <c r="FI73" s="59">
        <f t="shared" si="77"/>
        <v>736.50478515056784</v>
      </c>
      <c r="FJ73" s="59">
        <f ca="1">AVERAGE(OFFSET($FI$3,0,0,'Données projet'!$E$16+1,1))-AVERAGE(OFFSET($H$3,0,0,'Données projet'!$E$16+1,1))</f>
        <v>247.22536892257716</v>
      </c>
      <c r="FK73" s="59">
        <f t="shared" si="102"/>
        <v>147.97952262756075</v>
      </c>
      <c r="FL73" s="15">
        <f>IF(ISNA(VLOOKUP(A73,'Données projet'!$A$217:$I$237,3,0)),0,VLOOKUP(A73,'Données projet'!$A$217:$I$237,3,0))</f>
        <v>10</v>
      </c>
      <c r="FM73" s="15">
        <f>IF(ISNA(VLOOKUP(A73,'Données projet'!$A$217:$I$237,4,0)),0,VLOOKUP(A73,'Données projet'!$A$217:$I$237,4,0))</f>
        <v>21</v>
      </c>
      <c r="FN73" s="16">
        <f>IF(ISNA(VLOOKUP(A73,'Données projet'!$A$217:$I$237,5,0)),0%,VLOOKUP(A73,'Données projet'!$A$217:$I$237,5,0)*VLOOKUP('Données projet'!$B$16,Paramètres!$A$1:$I$89,7,0))</f>
        <v>0.43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48.803114256218223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48.803114256218223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6">
        <f t="shared" si="56"/>
        <v>370.98623205696038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249.0000000000002</v>
      </c>
      <c r="O74" s="13">
        <f>N74*VLOOKUP('Données projet'!$B$9,Paramètres!$A$1:$I$89,3,0)*VLOOKUP('Données projet'!$B$9,Paramètres!$A$1:$I$89,5,0)</f>
        <v>217.52640000000019</v>
      </c>
      <c r="P74" s="13">
        <f t="shared" si="87"/>
        <v>53.576907690651304</v>
      </c>
      <c r="Q74" s="20">
        <f t="shared" si="54"/>
        <v>472.17159422788467</v>
      </c>
      <c r="R74" s="59">
        <f t="shared" si="55"/>
        <v>765.50492756121798</v>
      </c>
      <c r="S74" s="59">
        <f ca="1">AVERAGE(OFFSET($R$3,0,0,'Données projet'!$E$9+1,1))-AVERAGE(OFFSET($H$3,0,0,'Données projet'!$E$9+1,1))</f>
        <v>253.73326067725128</v>
      </c>
      <c r="T74" s="59">
        <f t="shared" si="88"/>
        <v>317.76427047458026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61.22609313915062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61.22609313915062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16.8</v>
      </c>
      <c r="AI74" s="13">
        <f>IF('Données projet'!$A$62&gt;35,AI73+AH74-AQ73,IF(A74&lt;'Données projet'!$A$62,$AF$205^A74,IF(A74='Données projet'!$A$62,'Données projet'!$B$62,AI73+AH74-AQ73)))</f>
        <v>679.80000000000007</v>
      </c>
      <c r="AJ74" s="13">
        <f>AI74*VLOOKUP('Données projet'!$B$10,Paramètres!$A$1:$I$89,3,0)*VLOOKUP('Données projet'!$B$10,Paramètres!$A$1:$I$89,5,0)</f>
        <v>326.98380000000003</v>
      </c>
      <c r="AK74" s="13">
        <f t="shared" si="89"/>
        <v>76.804638175603472</v>
      </c>
      <c r="AL74" s="20">
        <f t="shared" si="58"/>
        <v>703.2648631558427</v>
      </c>
      <c r="AM74" s="59">
        <f t="shared" si="59"/>
        <v>996.59819648917596</v>
      </c>
      <c r="AN74" s="59">
        <f ca="1">AVERAGE(OFFSET($AM$3,0,0,'Données projet'!$E$10+1,1))-AVERAGE(OFFSET($H$3,0,0,'Données projet'!$E$10+1,1))</f>
        <v>349.65790906807746</v>
      </c>
      <c r="AO74" s="59">
        <f t="shared" si="90"/>
        <v>291.88925884278888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114.04472281273991</v>
      </c>
      <c r="AV74" s="21">
        <f>EXP(-LN(2)/25)*AV73+(1-EXP(-LN(2)/25))/(LN(2)/25)*Calculateur!AQ74*Calculateur!AS74*VLOOKUP('Données projet'!$B$10,Paramètres!$A$1:$I$89,3,0)*0.475*44/12</f>
        <v>13.217325120708814</v>
      </c>
      <c r="AW74" s="21">
        <f>EXP(-LN(2)/2)*AW73+(1-EXP(-LN(2)/2))/(LN(2)/2)*AQ74*AT74*VLOOKUP('Données projet'!$B$10,Paramètres!$A$1:$I$89,3,0)*0.475*44/12</f>
        <v>3.4429996683236909E-8</v>
      </c>
      <c r="AX74" s="21">
        <f t="shared" si="60"/>
        <v>127.26204796787871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4.2</v>
      </c>
      <c r="BD74" s="12">
        <f>IF('Données projet'!$A$88&gt;35,BD73+BC74-BL73,IF(A74&lt;'Données projet'!$A$88,$BA$205^A74,IF(A74='Données projet'!$A$88,'Données projet'!$B$88,BD73+BC74-BL73)))</f>
        <v>307.19999999999993</v>
      </c>
      <c r="BE74" s="13">
        <f>BD74*VLOOKUP('Données projet'!$B$11,Paramètres!$A$1:$I$89,3,0)*VLOOKUP('Données projet'!$B$11,Paramètres!$A$1:$I$89,5,0)</f>
        <v>244.40831999999995</v>
      </c>
      <c r="BF74" s="13">
        <f t="shared" si="91"/>
        <v>59.38699493610541</v>
      </c>
      <c r="BG74" s="20">
        <f t="shared" si="61"/>
        <v>529.11017351371675</v>
      </c>
      <c r="BH74" s="59">
        <f t="shared" si="62"/>
        <v>822.44350684705</v>
      </c>
      <c r="BI74" s="59">
        <f ca="1">AVERAGE(OFFSET($BH$3,0,0,'Données projet'!$E$11+1,1))-AVERAGE(OFFSET($H$3,0,0,'Données projet'!$E$11+1,1))</f>
        <v>279.49721661620544</v>
      </c>
      <c r="BJ74" s="59">
        <f t="shared" si="92"/>
        <v>275.18739333988754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51.359039937885704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51.359039937885704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3.4</v>
      </c>
      <c r="BY74" s="12">
        <f>IF('Données projet'!$A$114&gt;35,BY73+BX74-CG73,IF(A74&lt;'Données projet'!$A$114,$BV$205^A74,IF(A74='Données projet'!$A$114,'Données projet'!$B$114,BY73+BX74-CG73)))</f>
        <v>256.39999999999986</v>
      </c>
      <c r="BZ74" s="13">
        <f>BY74*VLOOKUP('Données projet'!$B$12,Paramètres!$A$1:$I$89,3,0)*VLOOKUP('Données projet'!$B$12,Paramètres!$A$1:$I$89,5,0)</f>
        <v>247.99007999999986</v>
      </c>
      <c r="CA74" s="13">
        <f t="shared" si="93"/>
        <v>60.155344744419764</v>
      </c>
      <c r="CB74" s="20">
        <f t="shared" si="64"/>
        <v>536.68661476319755</v>
      </c>
      <c r="CC74" s="59">
        <f t="shared" si="65"/>
        <v>830.01994809653092</v>
      </c>
      <c r="CD74" s="59">
        <f ca="1">AVERAGE(OFFSET($CC$3,0,0,'Données projet'!$E$12+1,1))-AVERAGE(OFFSET($H$3,0,0,'Données projet'!$E$12+1,1))</f>
        <v>281.84871057356037</v>
      </c>
      <c r="CE74" s="59">
        <f t="shared" si="94"/>
        <v>276.02211904126887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42.267494310906073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42.267494310906073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4.2</v>
      </c>
      <c r="CT74" s="12">
        <f>IF('Données projet'!$A$140&gt;35,CT73+CS74-DB73,IF(A74&lt;'Données projet'!$A$140,$CQ$205^A74,IF(A74='Données projet'!$A$140,'Données projet'!$B$140,CT73+CS74-DB73)))</f>
        <v>307.19999999999993</v>
      </c>
      <c r="CU74" s="17">
        <f>CT74*VLOOKUP('Données projet'!$B$13,Paramètres!$A$1:$I$89,3,0)*VLOOKUP('Données projet'!$B$13,Paramètres!$A$1:$I$89,5,0)</f>
        <v>244.40831999999995</v>
      </c>
      <c r="CV74" s="13">
        <f t="shared" si="95"/>
        <v>59.38699493610541</v>
      </c>
      <c r="CW74" s="20">
        <f t="shared" si="67"/>
        <v>529.11017351371675</v>
      </c>
      <c r="CX74" s="59">
        <f t="shared" si="68"/>
        <v>822.44350684705</v>
      </c>
      <c r="CY74" s="59">
        <f ca="1">AVERAGE(OFFSET($CX$3,0,0,'Données projet'!$E$13+1,1))-AVERAGE(OFFSET($H$3,0,0,'Données projet'!$E$13+1,1))</f>
        <v>279.49721661620544</v>
      </c>
      <c r="CZ74" s="59">
        <f t="shared" si="96"/>
        <v>275.18739333988754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51.359039937885704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51.359039937885704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6.2</v>
      </c>
      <c r="DO74" s="12">
        <f>IF('Données projet'!$A$166&gt;35,DO73+DN74-DW73,IF(A74&lt;'Données projet'!$A$166,$DL$205^A74,IF(A74='Données projet'!$A$166,'Données projet'!$B$166,DO73+DN74-DW73)))</f>
        <v>227.19999999999996</v>
      </c>
      <c r="DP74" s="17">
        <f>DO74*VLOOKUP('Données projet'!$B$14,Paramètres!$A$1:$I$89,3,0)*VLOOKUP('Données projet'!$B$14,Paramètres!$A$1:$I$89,5,0)</f>
        <v>230.38079999999997</v>
      </c>
      <c r="DQ74" s="13">
        <f t="shared" si="97"/>
        <v>56.365011465139979</v>
      </c>
      <c r="DR74" s="20">
        <f t="shared" si="70"/>
        <v>499.41562163511867</v>
      </c>
      <c r="DS74" s="59">
        <f t="shared" si="71"/>
        <v>792.74895496845193</v>
      </c>
      <c r="DT74" s="59">
        <f ca="1">AVERAGE(OFFSET($DS$3,0,0,'Données projet'!$E$14+1,1))-AVERAGE(OFFSET($H$3,0,0,'Données projet'!$E$14+1,1))</f>
        <v>308.80022073574963</v>
      </c>
      <c r="DU74" s="59">
        <f t="shared" si="98"/>
        <v>183.96267407004115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57.592545776294912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57.592545776294912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3.4</v>
      </c>
      <c r="EJ74" s="12">
        <f>IF('Données projet'!$A$192&gt;35,EJ73+EI74-ER73,IF(A74&lt;'Données projet'!$A$192,$EG$205^A74,IF(A74='Données projet'!$A$192,'Données projet'!$B$192,EJ73+EI74-ER73)))</f>
        <v>256.39999999999986</v>
      </c>
      <c r="EK74" s="17">
        <f>EJ74*VLOOKUP('Données projet'!$B$15,Paramètres!$A$1:$I$89,3,0)*VLOOKUP('Données projet'!$B$15,Paramètres!$A$1:$I$89,5,0)</f>
        <v>167.99327999999991</v>
      </c>
      <c r="EL74" s="13">
        <f t="shared" si="99"/>
        <v>42.640274928095231</v>
      </c>
      <c r="EM74" s="20">
        <f t="shared" si="73"/>
        <v>366.85344149976572</v>
      </c>
      <c r="EN74" s="59">
        <f t="shared" si="74"/>
        <v>660.18677483309898</v>
      </c>
      <c r="EO74" s="59">
        <f ca="1">AVERAGE(OFFSET($EN$3,0,0,'Données projet'!$E$15+1,1))-AVERAGE(OFFSET($H$3,0,0,'Données projet'!$E$15+1,1))</f>
        <v>178.71569711875242</v>
      </c>
      <c r="EP74" s="59">
        <f t="shared" si="100"/>
        <v>178.13848582064168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28.632818726742819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28.632818726742819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6.2</v>
      </c>
      <c r="FE74" s="12">
        <f>IF('Données projet'!$A$218&gt;35,FE73+FD74-FM73,IF(A74&lt;'Données projet'!$A$218,$FB$205^A74,IF(A74='Données projet'!$A$218,'Données projet'!$B$218,FE73+FD74-FM73)))</f>
        <v>227.19999999999996</v>
      </c>
      <c r="FF74" s="17">
        <f>FE74*VLOOKUP('Données projet'!$B$16,Paramètres!$A$1:$I$89,3,0)*VLOOKUP('Données projet'!$B$16,Paramètres!$A$1:$I$89,5,0)</f>
        <v>191.39327999999998</v>
      </c>
      <c r="FG74" s="13">
        <f t="shared" si="101"/>
        <v>47.847856170442952</v>
      </c>
      <c r="FH74" s="20">
        <f t="shared" si="76"/>
        <v>416.67831216352141</v>
      </c>
      <c r="FI74" s="59">
        <f t="shared" si="77"/>
        <v>710.01164549685473</v>
      </c>
      <c r="FJ74" s="59">
        <f ca="1">AVERAGE(OFFSET($FI$3,0,0,'Données projet'!$E$16+1,1))-AVERAGE(OFFSET($H$3,0,0,'Données projet'!$E$16+1,1))</f>
        <v>247.22536892257716</v>
      </c>
      <c r="FK74" s="59">
        <f t="shared" si="102"/>
        <v>147.97952262756075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47.846114952614236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47.846114952614236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6">
        <f t="shared" si="56"/>
        <v>372.04995655117574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249.0000000000002</v>
      </c>
      <c r="O75" s="13">
        <f>N75*VLOOKUP('Données projet'!$B$9,Paramètres!$A$1:$I$89,3,0)*VLOOKUP('Données projet'!$B$9,Paramètres!$A$1:$I$89,5,0)</f>
        <v>217.52640000000019</v>
      </c>
      <c r="P75" s="13">
        <f t="shared" si="87"/>
        <v>53.576907690651304</v>
      </c>
      <c r="Q75" s="20">
        <f t="shared" si="54"/>
        <v>472.17159422788467</v>
      </c>
      <c r="R75" s="59">
        <f t="shared" si="55"/>
        <v>765.50492756121798</v>
      </c>
      <c r="S75" s="59">
        <f ca="1">AVERAGE(OFFSET($R$3,0,0,'Données projet'!$E$9+1,1))-AVERAGE(OFFSET($H$3,0,0,'Données projet'!$E$9+1,1))</f>
        <v>253.73326067725128</v>
      </c>
      <c r="T75" s="59">
        <f t="shared" si="88"/>
        <v>317.76427047458026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60.025486796921257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60.025486796921257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16.8</v>
      </c>
      <c r="AI75" s="13">
        <f>IF('Données projet'!$A$62&gt;35,AI74+AH75-AQ74,IF(A75&lt;'Données projet'!$A$62,$AF$205^A75,IF(A75='Données projet'!$A$62,'Données projet'!$B$62,AI74+AH75-AQ74)))</f>
        <v>696.6</v>
      </c>
      <c r="AJ75" s="13">
        <f>AI75*VLOOKUP('Données projet'!$B$10,Paramètres!$A$1:$I$89,3,0)*VLOOKUP('Données projet'!$B$10,Paramètres!$A$1:$I$89,5,0)</f>
        <v>335.06460000000004</v>
      </c>
      <c r="AK75" s="13">
        <f t="shared" si="89"/>
        <v>78.479395389925372</v>
      </c>
      <c r="AL75" s="20">
        <f t="shared" si="58"/>
        <v>720.25579197078662</v>
      </c>
      <c r="AM75" s="59">
        <f t="shared" si="59"/>
        <v>1013.58912530412</v>
      </c>
      <c r="AN75" s="59">
        <f ca="1">AVERAGE(OFFSET($AM$3,0,0,'Données projet'!$E$10+1,1))-AVERAGE(OFFSET($H$3,0,0,'Données projet'!$E$10+1,1))</f>
        <v>349.65790906807746</v>
      </c>
      <c r="AO75" s="59">
        <f t="shared" si="90"/>
        <v>291.88925884278888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111.80837535879448</v>
      </c>
      <c r="AV75" s="21">
        <f>EXP(-LN(2)/25)*AV74+(1-EXP(-LN(2)/25))/(LN(2)/25)*Calculateur!AQ75*Calculateur!AS75*VLOOKUP('Données projet'!$B$10,Paramètres!$A$1:$I$89,3,0)*0.475*44/12</f>
        <v>12.855896670214113</v>
      </c>
      <c r="AW75" s="21">
        <f>EXP(-LN(2)/2)*AW74+(1-EXP(-LN(2)/2))/(LN(2)/2)*AQ75*AT75*VLOOKUP('Données projet'!$B$10,Paramètres!$A$1:$I$89,3,0)*0.475*44/12</f>
        <v>2.4345684130947158E-8</v>
      </c>
      <c r="AX75" s="21">
        <f t="shared" si="60"/>
        <v>124.66427205335427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4.2</v>
      </c>
      <c r="BD75" s="12">
        <f>IF('Données projet'!$A$88&gt;35,BD74+BC75-BL74,IF(A75&lt;'Données projet'!$A$88,$BA$205^A75,IF(A75='Données projet'!$A$88,'Données projet'!$B$88,BD74+BC75-BL74)))</f>
        <v>311.39999999999992</v>
      </c>
      <c r="BE75" s="13">
        <f>BD75*VLOOKUP('Données projet'!$B$11,Paramètres!$A$1:$I$89,3,0)*VLOOKUP('Données projet'!$B$11,Paramètres!$A$1:$I$89,5,0)</f>
        <v>247.74983999999995</v>
      </c>
      <c r="BF75" s="13">
        <f t="shared" si="91"/>
        <v>60.103849700617872</v>
      </c>
      <c r="BG75" s="20">
        <f t="shared" si="61"/>
        <v>536.17850956190932</v>
      </c>
      <c r="BH75" s="59">
        <f t="shared" si="62"/>
        <v>829.51184289524258</v>
      </c>
      <c r="BI75" s="59">
        <f ca="1">AVERAGE(OFFSET($BH$3,0,0,'Données projet'!$E$11+1,1))-AVERAGE(OFFSET($H$3,0,0,'Données projet'!$E$11+1,1))</f>
        <v>279.49721661620544</v>
      </c>
      <c r="BJ75" s="59">
        <f t="shared" si="92"/>
        <v>275.18739333988754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50.351920490624948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50.351920490624948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3.4</v>
      </c>
      <c r="BY75" s="12">
        <f>IF('Données projet'!$A$114&gt;35,BY74+BX75-CG74,IF(A75&lt;'Données projet'!$A$114,$BV$205^A75,IF(A75='Données projet'!$A$114,'Données projet'!$B$114,BY74+BX75-CG74)))</f>
        <v>259.79999999999984</v>
      </c>
      <c r="BZ75" s="13">
        <f>BY75*VLOOKUP('Données projet'!$B$12,Paramètres!$A$1:$I$89,3,0)*VLOOKUP('Données projet'!$B$12,Paramètres!$A$1:$I$89,5,0)</f>
        <v>251.27855999999986</v>
      </c>
      <c r="CA75" s="13">
        <f t="shared" si="93"/>
        <v>60.859643896274868</v>
      </c>
      <c r="CB75" s="20">
        <f t="shared" si="64"/>
        <v>543.64070511934517</v>
      </c>
      <c r="CC75" s="59">
        <f t="shared" si="65"/>
        <v>836.97403845267854</v>
      </c>
      <c r="CD75" s="59">
        <f ca="1">AVERAGE(OFFSET($CC$3,0,0,'Données projet'!$E$12+1,1))-AVERAGE(OFFSET($H$3,0,0,'Données projet'!$E$12+1,1))</f>
        <v>281.84871057356037</v>
      </c>
      <c r="CE75" s="59">
        <f t="shared" si="94"/>
        <v>276.02211904126887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41.438654528095107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41.438654528095107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4.2</v>
      </c>
      <c r="CT75" s="12">
        <f>IF('Données projet'!$A$140&gt;35,CT74+CS75-DB74,IF(A75&lt;'Données projet'!$A$140,$CQ$205^A75,IF(A75='Données projet'!$A$140,'Données projet'!$B$140,CT74+CS75-DB74)))</f>
        <v>311.39999999999992</v>
      </c>
      <c r="CU75" s="17">
        <f>CT75*VLOOKUP('Données projet'!$B$13,Paramètres!$A$1:$I$89,3,0)*VLOOKUP('Données projet'!$B$13,Paramètres!$A$1:$I$89,5,0)</f>
        <v>247.74983999999995</v>
      </c>
      <c r="CV75" s="13">
        <f t="shared" si="95"/>
        <v>60.103849700617872</v>
      </c>
      <c r="CW75" s="20">
        <f t="shared" si="67"/>
        <v>536.17850956190932</v>
      </c>
      <c r="CX75" s="59">
        <f t="shared" si="68"/>
        <v>829.51184289524258</v>
      </c>
      <c r="CY75" s="59">
        <f ca="1">AVERAGE(OFFSET($CX$3,0,0,'Données projet'!$E$13+1,1))-AVERAGE(OFFSET($H$3,0,0,'Données projet'!$E$13+1,1))</f>
        <v>279.49721661620544</v>
      </c>
      <c r="CZ75" s="59">
        <f t="shared" si="96"/>
        <v>275.18739333988754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50.351920490624948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50.351920490624948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6.2</v>
      </c>
      <c r="DO75" s="12">
        <f>IF('Données projet'!$A$166&gt;35,DO74+DN75-DW74,IF(A75&lt;'Données projet'!$A$166,$DL$205^A75,IF(A75='Données projet'!$A$166,'Données projet'!$B$166,DO74+DN75-DW74)))</f>
        <v>233.39999999999995</v>
      </c>
      <c r="DP75" s="17">
        <f>DO75*VLOOKUP('Données projet'!$B$14,Paramètres!$A$1:$I$89,3,0)*VLOOKUP('Données projet'!$B$14,Paramètres!$A$1:$I$89,5,0)</f>
        <v>236.66759999999996</v>
      </c>
      <c r="DQ75" s="13">
        <f t="shared" si="97"/>
        <v>57.721965974560838</v>
      </c>
      <c r="DR75" s="20">
        <f t="shared" si="70"/>
        <v>512.72849407236004</v>
      </c>
      <c r="DS75" s="59">
        <f t="shared" si="71"/>
        <v>806.06182740569329</v>
      </c>
      <c r="DT75" s="59">
        <f ca="1">AVERAGE(OFFSET($DS$3,0,0,'Données projet'!$E$14+1,1))-AVERAGE(OFFSET($H$3,0,0,'Données projet'!$E$14+1,1))</f>
        <v>308.80022073574963</v>
      </c>
      <c r="DU75" s="59">
        <f t="shared" si="98"/>
        <v>183.96267407004115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56.463191081606091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56.463191081606091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3.4</v>
      </c>
      <c r="EJ75" s="12">
        <f>IF('Données projet'!$A$192&gt;35,EJ74+EI75-ER74,IF(A75&lt;'Données projet'!$A$192,$EG$205^A75,IF(A75='Données projet'!$A$192,'Données projet'!$B$192,EJ74+EI75-ER74)))</f>
        <v>259.79999999999984</v>
      </c>
      <c r="EK75" s="17">
        <f>EJ75*VLOOKUP('Données projet'!$B$15,Paramètres!$A$1:$I$89,3,0)*VLOOKUP('Données projet'!$B$15,Paramètres!$A$1:$I$89,5,0)</f>
        <v>170.22095999999991</v>
      </c>
      <c r="EL75" s="13">
        <f t="shared" si="99"/>
        <v>43.13950753318327</v>
      </c>
      <c r="EM75" s="20">
        <f t="shared" si="73"/>
        <v>371.60281428696067</v>
      </c>
      <c r="EN75" s="59">
        <f t="shared" si="74"/>
        <v>664.93614762029392</v>
      </c>
      <c r="EO75" s="59">
        <f ca="1">AVERAGE(OFFSET($EN$3,0,0,'Données projet'!$E$15+1,1))-AVERAGE(OFFSET($H$3,0,0,'Données projet'!$E$15+1,1))</f>
        <v>178.71569711875242</v>
      </c>
      <c r="EP75" s="59">
        <f t="shared" si="100"/>
        <v>178.13848582064168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28.071346615806359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28.071346615806359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6.2</v>
      </c>
      <c r="FE75" s="12">
        <f>IF('Données projet'!$A$218&gt;35,FE74+FD75-FM74,IF(A75&lt;'Données projet'!$A$218,$FB$205^A75,IF(A75='Données projet'!$A$218,'Données projet'!$B$218,FE74+FD75-FM74)))</f>
        <v>233.39999999999995</v>
      </c>
      <c r="FF75" s="17">
        <f>FE75*VLOOKUP('Données projet'!$B$16,Paramètres!$A$1:$I$89,3,0)*VLOOKUP('Données projet'!$B$16,Paramètres!$A$1:$I$89,5,0)</f>
        <v>196.61615999999998</v>
      </c>
      <c r="FG75" s="13">
        <f t="shared" si="101"/>
        <v>48.999765174076551</v>
      </c>
      <c r="FH75" s="20">
        <f t="shared" si="76"/>
        <v>427.78106967818326</v>
      </c>
      <c r="FI75" s="59">
        <f t="shared" si="77"/>
        <v>721.11440301151652</v>
      </c>
      <c r="FJ75" s="59">
        <f ca="1">AVERAGE(OFFSET($FI$3,0,0,'Données projet'!$E$16+1,1))-AVERAGE(OFFSET($H$3,0,0,'Données projet'!$E$16+1,1))</f>
        <v>247.22536892257716</v>
      </c>
      <c r="FK75" s="59">
        <f t="shared" si="102"/>
        <v>147.97952262756075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46.907881821641986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46.907881821641986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6">
        <f t="shared" si="56"/>
        <v>373.11331598923283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249.0000000000002</v>
      </c>
      <c r="O76" s="13">
        <f>N76*VLOOKUP('Données projet'!$B$9,Paramètres!$A$1:$I$89,3,0)*VLOOKUP('Données projet'!$B$9,Paramètres!$A$1:$I$89,5,0)</f>
        <v>217.52640000000019</v>
      </c>
      <c r="P76" s="13">
        <f t="shared" si="87"/>
        <v>53.576907690651304</v>
      </c>
      <c r="Q76" s="20">
        <f t="shared" si="54"/>
        <v>472.17159422788467</v>
      </c>
      <c r="R76" s="59">
        <f t="shared" si="55"/>
        <v>765.50492756121798</v>
      </c>
      <c r="S76" s="59">
        <f ca="1">AVERAGE(OFFSET($R$3,0,0,'Données projet'!$E$9+1,1))-AVERAGE(OFFSET($H$3,0,0,'Données projet'!$E$9+1,1))</f>
        <v>253.73326067725128</v>
      </c>
      <c r="T76" s="59">
        <f t="shared" si="88"/>
        <v>317.76427047458026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58.848423612765451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58.848423612765451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16.8</v>
      </c>
      <c r="AI76" s="13">
        <f>IF('Données projet'!$A$62&gt;35,AI75+AH76-AQ75,IF(A76&lt;'Données projet'!$A$62,$AF$205^A76,IF(A76='Données projet'!$A$62,'Données projet'!$B$62,AI75+AH76-AQ75)))</f>
        <v>713.4</v>
      </c>
      <c r="AJ76" s="13">
        <f>AI76*VLOOKUP('Données projet'!$B$10,Paramètres!$A$1:$I$89,3,0)*VLOOKUP('Données projet'!$B$10,Paramètres!$A$1:$I$89,5,0)</f>
        <v>343.1454</v>
      </c>
      <c r="AK76" s="13">
        <f t="shared" si="89"/>
        <v>80.149457278745572</v>
      </c>
      <c r="AL76" s="20">
        <f t="shared" si="58"/>
        <v>737.23854309381511</v>
      </c>
      <c r="AM76" s="59">
        <f t="shared" si="59"/>
        <v>1030.5718764271485</v>
      </c>
      <c r="AN76" s="59">
        <f ca="1">AVERAGE(OFFSET($AM$3,0,0,'Données projet'!$E$10+1,1))-AVERAGE(OFFSET($H$3,0,0,'Données projet'!$E$10+1,1))</f>
        <v>349.65790906807746</v>
      </c>
      <c r="AO76" s="59">
        <f t="shared" si="90"/>
        <v>291.88925884278888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109.61588131438366</v>
      </c>
      <c r="AV76" s="21">
        <f>EXP(-LN(2)/25)*AV75+(1-EXP(-LN(2)/25))/(LN(2)/25)*Calculateur!AQ76*Calculateur!AS76*VLOOKUP('Données projet'!$B$10,Paramètres!$A$1:$I$89,3,0)*0.475*44/12</f>
        <v>12.504351499704885</v>
      </c>
      <c r="AW76" s="21">
        <f>EXP(-LN(2)/2)*AW75+(1-EXP(-LN(2)/2))/(LN(2)/2)*AQ76*AT76*VLOOKUP('Données projet'!$B$10,Paramètres!$A$1:$I$89,3,0)*0.475*44/12</f>
        <v>1.7214998341618454E-8</v>
      </c>
      <c r="AX76" s="21">
        <f t="shared" si="60"/>
        <v>122.12023283130354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4.2</v>
      </c>
      <c r="BD76" s="12">
        <f>IF('Données projet'!$A$88&gt;35,BD75+BC76-BL75,IF(A76&lt;'Données projet'!$A$88,$BA$205^A76,IF(A76='Données projet'!$A$88,'Données projet'!$B$88,BD75+BC76-BL75)))</f>
        <v>315.59999999999991</v>
      </c>
      <c r="BE76" s="13">
        <f>BD76*VLOOKUP('Données projet'!$B$11,Paramètres!$A$1:$I$89,3,0)*VLOOKUP('Données projet'!$B$11,Paramètres!$A$1:$I$89,5,0)</f>
        <v>251.09135999999995</v>
      </c>
      <c r="BF76" s="13">
        <f t="shared" si="91"/>
        <v>60.81957989149403</v>
      </c>
      <c r="BG76" s="20">
        <f t="shared" si="61"/>
        <v>543.24488697768527</v>
      </c>
      <c r="BH76" s="59">
        <f t="shared" si="62"/>
        <v>836.57822031101864</v>
      </c>
      <c r="BI76" s="59">
        <f ca="1">AVERAGE(OFFSET($BH$3,0,0,'Données projet'!$E$11+1,1))-AVERAGE(OFFSET($H$3,0,0,'Données projet'!$E$11+1,1))</f>
        <v>279.49721661620544</v>
      </c>
      <c r="BJ76" s="59">
        <f t="shared" si="92"/>
        <v>275.18739333988754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49.364550041442769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49.364550041442769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3.4</v>
      </c>
      <c r="BY76" s="12">
        <f>IF('Données projet'!$A$114&gt;35,BY75+BX76-CG75,IF(A76&lt;'Données projet'!$A$114,$BV$205^A76,IF(A76='Données projet'!$A$114,'Données projet'!$B$114,BY75+BX76-CG75)))</f>
        <v>263.19999999999982</v>
      </c>
      <c r="BZ76" s="13">
        <f>BY76*VLOOKUP('Données projet'!$B$12,Paramètres!$A$1:$I$89,3,0)*VLOOKUP('Données projet'!$B$12,Paramètres!$A$1:$I$89,5,0)</f>
        <v>254.56703999999982</v>
      </c>
      <c r="CA76" s="13">
        <f t="shared" si="93"/>
        <v>61.562870955572379</v>
      </c>
      <c r="CB76" s="20">
        <f t="shared" si="64"/>
        <v>550.59292824762156</v>
      </c>
      <c r="CC76" s="59">
        <f t="shared" si="65"/>
        <v>843.92626158095482</v>
      </c>
      <c r="CD76" s="59">
        <f ca="1">AVERAGE(OFFSET($CC$3,0,0,'Données projet'!$E$12+1,1))-AVERAGE(OFFSET($H$3,0,0,'Données projet'!$E$12+1,1))</f>
        <v>281.84871057356037</v>
      </c>
      <c r="CE76" s="59">
        <f t="shared" si="94"/>
        <v>276.02211904126887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40.626067787882718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40.626067787882718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4.2</v>
      </c>
      <c r="CT76" s="12">
        <f>IF('Données projet'!$A$140&gt;35,CT75+CS76-DB75,IF(A76&lt;'Données projet'!$A$140,$CQ$205^A76,IF(A76='Données projet'!$A$140,'Données projet'!$B$140,CT75+CS76-DB75)))</f>
        <v>315.59999999999991</v>
      </c>
      <c r="CU76" s="17">
        <f>CT76*VLOOKUP('Données projet'!$B$13,Paramètres!$A$1:$I$89,3,0)*VLOOKUP('Données projet'!$B$13,Paramètres!$A$1:$I$89,5,0)</f>
        <v>251.09135999999995</v>
      </c>
      <c r="CV76" s="13">
        <f t="shared" si="95"/>
        <v>60.81957989149403</v>
      </c>
      <c r="CW76" s="20">
        <f t="shared" si="67"/>
        <v>543.24488697768527</v>
      </c>
      <c r="CX76" s="59">
        <f t="shared" si="68"/>
        <v>836.57822031101864</v>
      </c>
      <c r="CY76" s="59">
        <f ca="1">AVERAGE(OFFSET($CX$3,0,0,'Données projet'!$E$13+1,1))-AVERAGE(OFFSET($H$3,0,0,'Données projet'!$E$13+1,1))</f>
        <v>279.49721661620544</v>
      </c>
      <c r="CZ76" s="59">
        <f t="shared" si="96"/>
        <v>275.18739333988754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49.364550041442769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49.364550041442769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6.2</v>
      </c>
      <c r="DO76" s="12">
        <f>IF('Données projet'!$A$166&gt;35,DO75+DN76-DW75,IF(A76&lt;'Données projet'!$A$166,$DL$205^A76,IF(A76='Données projet'!$A$166,'Données projet'!$B$166,DO75+DN76-DW75)))</f>
        <v>239.59999999999994</v>
      </c>
      <c r="DP76" s="17">
        <f>DO76*VLOOKUP('Données projet'!$B$14,Paramètres!$A$1:$I$89,3,0)*VLOOKUP('Données projet'!$B$14,Paramètres!$A$1:$I$89,5,0)</f>
        <v>242.95439999999994</v>
      </c>
      <c r="DQ76" s="13">
        <f t="shared" si="97"/>
        <v>59.074730698078945</v>
      </c>
      <c r="DR76" s="20">
        <f t="shared" si="70"/>
        <v>526.034069299154</v>
      </c>
      <c r="DS76" s="59">
        <f t="shared" si="71"/>
        <v>819.36740263248726</v>
      </c>
      <c r="DT76" s="59">
        <f ca="1">AVERAGE(OFFSET($DS$3,0,0,'Données projet'!$E$14+1,1))-AVERAGE(OFFSET($H$3,0,0,'Données projet'!$E$14+1,1))</f>
        <v>308.80022073574963</v>
      </c>
      <c r="DU76" s="59">
        <f t="shared" si="98"/>
        <v>183.96267407004115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55.35598234364177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55.35598234364177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3.4</v>
      </c>
      <c r="EJ76" s="12">
        <f>IF('Données projet'!$A$192&gt;35,EJ75+EI76-ER75,IF(A76&lt;'Données projet'!$A$192,$EG$205^A76,IF(A76='Données projet'!$A$192,'Données projet'!$B$192,EJ75+EI76-ER75)))</f>
        <v>263.19999999999982</v>
      </c>
      <c r="EK76" s="17">
        <f>EJ76*VLOOKUP('Données projet'!$B$15,Paramètres!$A$1:$I$89,3,0)*VLOOKUP('Données projet'!$B$15,Paramètres!$A$1:$I$89,5,0)</f>
        <v>172.4486399999999</v>
      </c>
      <c r="EL76" s="13">
        <f t="shared" si="99"/>
        <v>43.637980200453676</v>
      </c>
      <c r="EM76" s="20">
        <f t="shared" si="73"/>
        <v>376.35086351579002</v>
      </c>
      <c r="EN76" s="59">
        <f t="shared" si="74"/>
        <v>669.68419684912328</v>
      </c>
      <c r="EO76" s="59">
        <f ca="1">AVERAGE(OFFSET($EN$3,0,0,'Données projet'!$E$15+1,1))-AVERAGE(OFFSET($H$3,0,0,'Données projet'!$E$15+1,1))</f>
        <v>178.71569711875242</v>
      </c>
      <c r="EP76" s="59">
        <f t="shared" si="100"/>
        <v>178.13848582064168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27.520884630501193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27.520884630501193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6.2</v>
      </c>
      <c r="FE76" s="12">
        <f>IF('Données projet'!$A$218&gt;35,FE75+FD76-FM75,IF(A76&lt;'Données projet'!$A$218,$FB$205^A76,IF(A76='Données projet'!$A$218,'Données projet'!$B$218,FE75+FD76-FM75)))</f>
        <v>239.59999999999994</v>
      </c>
      <c r="FF76" s="17">
        <f>FE76*VLOOKUP('Données projet'!$B$16,Paramètres!$A$1:$I$89,3,0)*VLOOKUP('Données projet'!$B$16,Paramètres!$A$1:$I$89,5,0)</f>
        <v>201.83903999999998</v>
      </c>
      <c r="FG76" s="13">
        <f t="shared" si="101"/>
        <v>50.148117498343801</v>
      </c>
      <c r="FH76" s="20">
        <f t="shared" si="76"/>
        <v>438.87763264294875</v>
      </c>
      <c r="FI76" s="59">
        <f t="shared" si="77"/>
        <v>732.21096597628207</v>
      </c>
      <c r="FJ76" s="59">
        <f ca="1">AVERAGE(OFFSET($FI$3,0,0,'Données projet'!$E$16+1,1))-AVERAGE(OFFSET($H$3,0,0,'Données projet'!$E$16+1,1))</f>
        <v>247.22536892257716</v>
      </c>
      <c r="FK76" s="59">
        <f t="shared" si="102"/>
        <v>147.97952262756075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45.988046870102401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45.988046870102401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6">
        <f t="shared" si="56"/>
        <v>374.17631594989302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249.0000000000002</v>
      </c>
      <c r="O77" s="13">
        <f>N77*VLOOKUP('Données projet'!$B$9,Paramètres!$A$1:$I$89,3,0)*VLOOKUP('Données projet'!$B$9,Paramètres!$A$1:$I$89,5,0)</f>
        <v>217.52640000000019</v>
      </c>
      <c r="P77" s="13">
        <f t="shared" si="87"/>
        <v>53.576907690651304</v>
      </c>
      <c r="Q77" s="20">
        <f t="shared" si="54"/>
        <v>472.17159422788467</v>
      </c>
      <c r="R77" s="59">
        <f t="shared" si="55"/>
        <v>765.50492756121798</v>
      </c>
      <c r="S77" s="59">
        <f ca="1">AVERAGE(OFFSET($R$3,0,0,'Données projet'!$E$9+1,1))-AVERAGE(OFFSET($H$3,0,0,'Données projet'!$E$9+1,1))</f>
        <v>253.73326067725128</v>
      </c>
      <c r="T77" s="59">
        <f t="shared" si="88"/>
        <v>317.76427047458026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57.694441919713285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57.694441919713285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16.8</v>
      </c>
      <c r="AI77" s="13">
        <f>IF('Données projet'!$A$62&gt;35,AI76+AH77-AQ76,IF(A77&lt;'Données projet'!$A$62,$AF$205^A77,IF(A77='Données projet'!$A$62,'Données projet'!$B$62,AI76+AH77-AQ76)))</f>
        <v>730.19999999999993</v>
      </c>
      <c r="AJ77" s="13">
        <f>AI77*VLOOKUP('Données projet'!$B$10,Paramètres!$A$1:$I$89,3,0)*VLOOKUP('Données projet'!$B$10,Paramètres!$A$1:$I$89,5,0)</f>
        <v>351.22620000000001</v>
      </c>
      <c r="AK77" s="13">
        <f t="shared" si="89"/>
        <v>81.814947137719528</v>
      </c>
      <c r="AL77" s="20">
        <f t="shared" si="58"/>
        <v>754.21333126486149</v>
      </c>
      <c r="AM77" s="59">
        <f t="shared" si="59"/>
        <v>1047.5466645981949</v>
      </c>
      <c r="AN77" s="59">
        <f ca="1">AVERAGE(OFFSET($AM$3,0,0,'Données projet'!$E$10+1,1))-AVERAGE(OFFSET($H$3,0,0,'Données projet'!$E$10+1,1))</f>
        <v>349.65790906807746</v>
      </c>
      <c r="AO77" s="59">
        <f t="shared" si="90"/>
        <v>291.88925884278888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107.46638074089441</v>
      </c>
      <c r="AV77" s="21">
        <f>EXP(-LN(2)/25)*AV76+(1-EXP(-LN(2)/25))/(LN(2)/25)*Calculateur!AQ77*Calculateur!AS77*VLOOKUP('Données projet'!$B$10,Paramètres!$A$1:$I$89,3,0)*0.475*44/12</f>
        <v>12.16241935037019</v>
      </c>
      <c r="AW77" s="21">
        <f>EXP(-LN(2)/2)*AW76+(1-EXP(-LN(2)/2))/(LN(2)/2)*AQ77*AT77*VLOOKUP('Données projet'!$B$10,Paramètres!$A$1:$I$89,3,0)*0.475*44/12</f>
        <v>1.2172842065473579E-8</v>
      </c>
      <c r="AX77" s="21">
        <f t="shared" si="60"/>
        <v>119.62880010343744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4.2</v>
      </c>
      <c r="BD77" s="12">
        <f>IF('Données projet'!$A$88&gt;35,BD76+BC77-BL76,IF(A77&lt;'Données projet'!$A$88,$BA$205^A77,IF(A77='Données projet'!$A$88,'Données projet'!$B$88,BD76+BC77-BL76)))</f>
        <v>319.7999999999999</v>
      </c>
      <c r="BE77" s="13">
        <f>BD77*VLOOKUP('Données projet'!$B$11,Paramètres!$A$1:$I$89,3,0)*VLOOKUP('Données projet'!$B$11,Paramètres!$A$1:$I$89,5,0)</f>
        <v>254.43287999999995</v>
      </c>
      <c r="BF77" s="13">
        <f t="shared" si="91"/>
        <v>61.534202204620392</v>
      </c>
      <c r="BG77" s="20">
        <f t="shared" si="61"/>
        <v>550.30933483971376</v>
      </c>
      <c r="BH77" s="59">
        <f t="shared" si="62"/>
        <v>843.64266817304701</v>
      </c>
      <c r="BI77" s="59">
        <f ca="1">AVERAGE(OFFSET($BH$3,0,0,'Données projet'!$E$11+1,1))-AVERAGE(OFFSET($H$3,0,0,'Données projet'!$E$11+1,1))</f>
        <v>279.49721661620544</v>
      </c>
      <c r="BJ77" s="59">
        <f t="shared" si="92"/>
        <v>275.18739333988754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48.396541324532542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48.396541324532542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3.4</v>
      </c>
      <c r="BY77" s="12">
        <f>IF('Données projet'!$A$114&gt;35,BY76+BX77-CG76,IF(A77&lt;'Données projet'!$A$114,$BV$205^A77,IF(A77='Données projet'!$A$114,'Données projet'!$B$114,BY76+BX77-CG76)))</f>
        <v>266.5999999999998</v>
      </c>
      <c r="BZ77" s="13">
        <f>BY77*VLOOKUP('Données projet'!$B$12,Paramètres!$A$1:$I$89,3,0)*VLOOKUP('Données projet'!$B$12,Paramètres!$A$1:$I$89,5,0)</f>
        <v>257.85551999999979</v>
      </c>
      <c r="CA77" s="13">
        <f t="shared" si="93"/>
        <v>62.265041372827518</v>
      </c>
      <c r="CB77" s="20">
        <f t="shared" si="64"/>
        <v>557.54331105767415</v>
      </c>
      <c r="CC77" s="59">
        <f t="shared" si="65"/>
        <v>850.8766443910074</v>
      </c>
      <c r="CD77" s="59">
        <f ca="1">AVERAGE(OFFSET($CC$3,0,0,'Données projet'!$E$12+1,1))-AVERAGE(OFFSET($H$3,0,0,'Données projet'!$E$12+1,1))</f>
        <v>281.84871057356037</v>
      </c>
      <c r="CE77" s="59">
        <f t="shared" si="94"/>
        <v>276.02211904126887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39.829415378016918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39.829415378016918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4.2</v>
      </c>
      <c r="CT77" s="12">
        <f>IF('Données projet'!$A$140&gt;35,CT76+CS77-DB76,IF(A77&lt;'Données projet'!$A$140,$CQ$205^A77,IF(A77='Données projet'!$A$140,'Données projet'!$B$140,CT76+CS77-DB76)))</f>
        <v>319.7999999999999</v>
      </c>
      <c r="CU77" s="17">
        <f>CT77*VLOOKUP('Données projet'!$B$13,Paramètres!$A$1:$I$89,3,0)*VLOOKUP('Données projet'!$B$13,Paramètres!$A$1:$I$89,5,0)</f>
        <v>254.43287999999995</v>
      </c>
      <c r="CV77" s="13">
        <f t="shared" si="95"/>
        <v>61.534202204620392</v>
      </c>
      <c r="CW77" s="20">
        <f t="shared" si="67"/>
        <v>550.30933483971376</v>
      </c>
      <c r="CX77" s="59">
        <f t="shared" si="68"/>
        <v>843.64266817304701</v>
      </c>
      <c r="CY77" s="59">
        <f ca="1">AVERAGE(OFFSET($CX$3,0,0,'Données projet'!$E$13+1,1))-AVERAGE(OFFSET($H$3,0,0,'Données projet'!$E$13+1,1))</f>
        <v>279.49721661620544</v>
      </c>
      <c r="CZ77" s="59">
        <f t="shared" si="96"/>
        <v>275.18739333988754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48.396541324532542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48.396541324532542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6.2</v>
      </c>
      <c r="DO77" s="12">
        <f>IF('Données projet'!$A$166&gt;35,DO76+DN77-DW76,IF(A77&lt;'Données projet'!$A$166,$DL$205^A77,IF(A77='Données projet'!$A$166,'Données projet'!$B$166,DO76+DN77-DW76)))</f>
        <v>245.79999999999993</v>
      </c>
      <c r="DP77" s="17">
        <f>DO77*VLOOKUP('Données projet'!$B$14,Paramètres!$A$1:$I$89,3,0)*VLOOKUP('Données projet'!$B$14,Paramètres!$A$1:$I$89,5,0)</f>
        <v>249.24119999999994</v>
      </c>
      <c r="DQ77" s="13">
        <f t="shared" si="97"/>
        <v>60.42342651744692</v>
      </c>
      <c r="DR77" s="20">
        <f t="shared" si="70"/>
        <v>539.33255785121992</v>
      </c>
      <c r="DS77" s="59">
        <f t="shared" si="71"/>
        <v>832.66589118455317</v>
      </c>
      <c r="DT77" s="59">
        <f ca="1">AVERAGE(OFFSET($DS$3,0,0,'Données projet'!$E$14+1,1))-AVERAGE(OFFSET($H$3,0,0,'Données projet'!$E$14+1,1))</f>
        <v>308.80022073574963</v>
      </c>
      <c r="DU77" s="59">
        <f t="shared" si="98"/>
        <v>183.96267407004115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54.270485293698286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54.270485293698286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3.4</v>
      </c>
      <c r="EJ77" s="12">
        <f>IF('Données projet'!$A$192&gt;35,EJ76+EI77-ER76,IF(A77&lt;'Données projet'!$A$192,$EG$205^A77,IF(A77='Données projet'!$A$192,'Données projet'!$B$192,EJ76+EI77-ER76)))</f>
        <v>266.5999999999998</v>
      </c>
      <c r="EK77" s="17">
        <f>EJ77*VLOOKUP('Données projet'!$B$15,Paramètres!$A$1:$I$89,3,0)*VLOOKUP('Données projet'!$B$15,Paramètres!$A$1:$I$89,5,0)</f>
        <v>174.67631999999986</v>
      </c>
      <c r="EL77" s="13">
        <f t="shared" si="99"/>
        <v>44.135703881788075</v>
      </c>
      <c r="EM77" s="20">
        <f t="shared" si="73"/>
        <v>381.09760826078065</v>
      </c>
      <c r="EN77" s="59">
        <f t="shared" si="74"/>
        <v>674.43094159411396</v>
      </c>
      <c r="EO77" s="59">
        <f ca="1">AVERAGE(OFFSET($EN$3,0,0,'Données projet'!$E$15+1,1))-AVERAGE(OFFSET($H$3,0,0,'Données projet'!$E$15+1,1))</f>
        <v>178.71569711875242</v>
      </c>
      <c r="EP77" s="59">
        <f t="shared" si="100"/>
        <v>178.13848582064168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26.981216868979203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26.981216868979203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6.2</v>
      </c>
      <c r="FE77" s="12">
        <f>IF('Données projet'!$A$218&gt;35,FE76+FD77-FM76,IF(A77&lt;'Données projet'!$A$218,$FB$205^A77,IF(A77='Données projet'!$A$218,'Données projet'!$B$218,FE76+FD77-FM76)))</f>
        <v>245.79999999999993</v>
      </c>
      <c r="FF77" s="17">
        <f>FE77*VLOOKUP('Données projet'!$B$16,Paramètres!$A$1:$I$89,3,0)*VLOOKUP('Données projet'!$B$16,Paramètres!$A$1:$I$89,5,0)</f>
        <v>207.06191999999996</v>
      </c>
      <c r="FG77" s="13">
        <f t="shared" si="101"/>
        <v>51.293015758902222</v>
      </c>
      <c r="FH77" s="20">
        <f t="shared" si="76"/>
        <v>449.96817978008789</v>
      </c>
      <c r="FI77" s="59">
        <f t="shared" si="77"/>
        <v>743.30151311342115</v>
      </c>
      <c r="FJ77" s="59">
        <f ca="1">AVERAGE(OFFSET($FI$3,0,0,'Données projet'!$E$16+1,1))-AVERAGE(OFFSET($H$3,0,0,'Données projet'!$E$16+1,1))</f>
        <v>247.22536892257716</v>
      </c>
      <c r="FK77" s="59">
        <f t="shared" si="102"/>
        <v>147.97952262756075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45.086249320918583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45.086249320918583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6">
        <f t="shared" si="56"/>
        <v>375.238961852476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249.0000000000002</v>
      </c>
      <c r="O78" s="13">
        <f>N78*VLOOKUP('Données projet'!$B$9,Paramètres!$A$1:$I$89,3,0)*VLOOKUP('Données projet'!$B$9,Paramètres!$A$1:$I$89,5,0)</f>
        <v>217.52640000000019</v>
      </c>
      <c r="P78" s="13">
        <f t="shared" si="87"/>
        <v>53.576907690651304</v>
      </c>
      <c r="Q78" s="20">
        <f t="shared" si="54"/>
        <v>472.17159422788467</v>
      </c>
      <c r="R78" s="59">
        <f t="shared" si="55"/>
        <v>765.50492756121798</v>
      </c>
      <c r="S78" s="59">
        <f ca="1">AVERAGE(OFFSET($R$3,0,0,'Données projet'!$E$9+1,1))-AVERAGE(OFFSET($H$3,0,0,'Données projet'!$E$9+1,1))</f>
        <v>253.73326067725128</v>
      </c>
      <c r="T78" s="59">
        <f t="shared" si="88"/>
        <v>317.76427047458026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56.56308910380254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56.56308910380254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747</v>
      </c>
      <c r="AG78" s="12">
        <f>VLOOKUP(A78,'Données projet'!$A$61:$I$81,9,0)</f>
        <v>16.8</v>
      </c>
      <c r="AH78" s="12">
        <f t="array" ref="AH78">INDEX(AG:AG,MIN(IF(ISNUMBER(AG78:AG274),ROW(AG78:AG274),"")))</f>
        <v>16.8</v>
      </c>
      <c r="AI78" s="13">
        <f>IF('Données projet'!$A$62&gt;35,AI77+AH78-AQ77,IF(A78&lt;'Données projet'!$A$62,$AF$205^A78,IF(A78='Données projet'!$A$62,'Données projet'!$B$62,AI77+AH78-AQ77)))</f>
        <v>746.99999999999989</v>
      </c>
      <c r="AJ78" s="13">
        <f>AI78*VLOOKUP('Données projet'!$B$10,Paramètres!$A$1:$I$89,3,0)*VLOOKUP('Données projet'!$B$10,Paramètres!$A$1:$I$89,5,0)</f>
        <v>359.3069999999999</v>
      </c>
      <c r="AK78" s="13">
        <f t="shared" si="89"/>
        <v>83.475982265325911</v>
      </c>
      <c r="AL78" s="20">
        <f t="shared" si="58"/>
        <v>771.18036077877571</v>
      </c>
      <c r="AM78" s="59">
        <f t="shared" si="59"/>
        <v>1064.5136941121091</v>
      </c>
      <c r="AN78" s="59">
        <f ca="1">AVERAGE(OFFSET($AM$3,0,0,'Données projet'!$E$10+1,1))-AVERAGE(OFFSET($H$3,0,0,'Données projet'!$E$10+1,1))</f>
        <v>349.65790906807746</v>
      </c>
      <c r="AO78" s="59">
        <f t="shared" si="90"/>
        <v>291.88925884278888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47</v>
      </c>
      <c r="AR78" s="16">
        <f>IF(ISNA(VLOOKUP(A78,'Données projet'!$A$61:$I$81,5,0)),0%,VLOOKUP(A78,'Données projet'!$A$61:$I$81,5,0)*VLOOKUP('Données projet'!$B$10,Paramètres!$A$1:$I$89,7,0))</f>
        <v>0.55000000000000004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121.85333401685232</v>
      </c>
      <c r="AV78" s="21">
        <f>EXP(-LN(2)/25)*AV77+(1-EXP(-LN(2)/25))/(LN(2)/25)*Calculateur!AQ78*Calculateur!AS78*VLOOKUP('Données projet'!$B$10,Paramètres!$A$1:$I$89,3,0)*0.475*44/12</f>
        <v>11.82983735364048</v>
      </c>
      <c r="AW78" s="21">
        <f>EXP(-LN(2)/2)*AW77+(1-EXP(-LN(2)/2))/(LN(2)/2)*AQ78*AT78*VLOOKUP('Données projet'!$B$10,Paramètres!$A$1:$I$89,3,0)*0.475*44/12</f>
        <v>8.6074991708092272E-9</v>
      </c>
      <c r="AX78" s="21">
        <f t="shared" si="60"/>
        <v>133.68317137910029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324</v>
      </c>
      <c r="BB78" s="12">
        <f>VLOOKUP(A78,'Données projet'!$A$87:$I$107,9,0)</f>
        <v>4.2</v>
      </c>
      <c r="BC78" s="12">
        <f t="array" ref="BC78">INDEX(BB:BB,MIN(IF(ISNUMBER(BB78:BB274),ROW(BB78:BB274),"")))</f>
        <v>4.2</v>
      </c>
      <c r="BD78" s="12">
        <f>IF('Données projet'!$A$88&gt;35,BD77+BC78-BL77,IF(A78&lt;'Données projet'!$A$88,$BA$205^A78,IF(A78='Données projet'!$A$88,'Données projet'!$B$88,BD77+BC78-BL77)))</f>
        <v>323.99999999999989</v>
      </c>
      <c r="BE78" s="13">
        <f>BD78*VLOOKUP('Données projet'!$B$11,Paramètres!$A$1:$I$89,3,0)*VLOOKUP('Données projet'!$B$11,Paramètres!$A$1:$I$89,5,0)</f>
        <v>257.77439999999996</v>
      </c>
      <c r="BF78" s="13">
        <f t="shared" si="91"/>
        <v>62.247732872134293</v>
      </c>
      <c r="BG78" s="20">
        <f t="shared" si="61"/>
        <v>557.37188141896718</v>
      </c>
      <c r="BH78" s="59">
        <f t="shared" si="62"/>
        <v>850.70521475230044</v>
      </c>
      <c r="BI78" s="59">
        <f ca="1">AVERAGE(OFFSET($BH$3,0,0,'Données projet'!$E$11+1,1))-AVERAGE(OFFSET($H$3,0,0,'Données projet'!$E$11+1,1))</f>
        <v>279.49721661620544</v>
      </c>
      <c r="BJ78" s="59">
        <f t="shared" si="92"/>
        <v>275.18739333988754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12</v>
      </c>
      <c r="BM78" s="16">
        <f>IF(ISNA(VLOOKUP(A78,'Données projet'!$A$87:$I$107,5,0)),0%,VLOOKUP(A78,'Données projet'!$A$87:$I$107,5,0)*VLOOKUP('Données projet'!$B$11,Paramètres!$A$1:$I$89,7,0))</f>
        <v>0.53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53.04121247609671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53.04121247609671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270</v>
      </c>
      <c r="BW78" s="12">
        <f>VLOOKUP(A78,'Données projet'!$A$113:$I$133,9,0)</f>
        <v>3.4</v>
      </c>
      <c r="BX78" s="12">
        <f t="array" ref="BX78">INDEX(BW:BW,MIN(IF(ISNUMBER(BW78:BW274),ROW(BW78:BW274),"")))</f>
        <v>3.4</v>
      </c>
      <c r="BY78" s="12">
        <f>IF('Données projet'!$A$114&gt;35,BY77+BX78-CG77,IF(A78&lt;'Données projet'!$A$114,$BV$205^A78,IF(A78='Données projet'!$A$114,'Données projet'!$B$114,BY77+BX78-CG77)))</f>
        <v>269.99999999999977</v>
      </c>
      <c r="BZ78" s="13">
        <f>BY78*VLOOKUP('Données projet'!$B$12,Paramètres!$A$1:$I$89,3,0)*VLOOKUP('Données projet'!$B$12,Paramètres!$A$1:$I$89,5,0)</f>
        <v>261.14399999999978</v>
      </c>
      <c r="CA78" s="13">
        <f t="shared" si="93"/>
        <v>62.966170181808813</v>
      </c>
      <c r="CB78" s="20">
        <f t="shared" si="64"/>
        <v>564.49187973331652</v>
      </c>
      <c r="CC78" s="59">
        <f t="shared" si="65"/>
        <v>857.82521306664989</v>
      </c>
      <c r="CD78" s="59">
        <f ca="1">AVERAGE(OFFSET($CC$3,0,0,'Données projet'!$E$12+1,1))-AVERAGE(OFFSET($H$3,0,0,'Données projet'!$E$12+1,1))</f>
        <v>281.84871057356037</v>
      </c>
      <c r="CE78" s="59">
        <f t="shared" si="94"/>
        <v>276.02211904126887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9</v>
      </c>
      <c r="CH78" s="16">
        <f>IF(ISNA(VLOOKUP(A78,'Données projet'!$A$113:$I$133,5,0)),0%,VLOOKUP(A78,'Données projet'!$A$113:$I$133,5,0)*VLOOKUP('Données projet'!$B$12,Paramètres!$A$1:$I$89,7,0))</f>
        <v>0.43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43.186231216694722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43.186231216694722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324</v>
      </c>
      <c r="CR78" s="12">
        <f>VLOOKUP(A78,'Données projet'!$A$139:$I$159,9,0)</f>
        <v>4.2</v>
      </c>
      <c r="CS78" s="12">
        <f t="array" ref="CS78">INDEX(CR:CR,MIN(IF(ISNUMBER(CR78:CR274),ROW(CR78:CR274),"")))</f>
        <v>4.2</v>
      </c>
      <c r="CT78" s="12">
        <f>IF('Données projet'!$A$140&gt;35,CT77+CS78-DB77,IF(A78&lt;'Données projet'!$A$140,$CQ$205^A78,IF(A78='Données projet'!$A$140,'Données projet'!$B$140,CT77+CS78-DB77)))</f>
        <v>323.99999999999989</v>
      </c>
      <c r="CU78" s="17">
        <f>CT78*VLOOKUP('Données projet'!$B$13,Paramètres!$A$1:$I$89,3,0)*VLOOKUP('Données projet'!$B$13,Paramètres!$A$1:$I$89,5,0)</f>
        <v>257.77439999999996</v>
      </c>
      <c r="CV78" s="13">
        <f t="shared" si="95"/>
        <v>62.247732872134293</v>
      </c>
      <c r="CW78" s="20">
        <f t="shared" si="67"/>
        <v>557.37188141896718</v>
      </c>
      <c r="CX78" s="59">
        <f t="shared" si="68"/>
        <v>850.70521475230044</v>
      </c>
      <c r="CY78" s="59">
        <f ca="1">AVERAGE(OFFSET($CX$3,0,0,'Données projet'!$E$13+1,1))-AVERAGE(OFFSET($H$3,0,0,'Données projet'!$E$13+1,1))</f>
        <v>279.49721661620544</v>
      </c>
      <c r="CZ78" s="59">
        <f t="shared" si="96"/>
        <v>275.18739333988754</v>
      </c>
      <c r="DA78" s="15">
        <f>IF(ISNA(VLOOKUP(A78,'Données projet'!$A$139:$I$159,3,0)),0,VLOOKUP(A78,'Données projet'!$A$139:$I$159,3,0))</f>
        <v>13</v>
      </c>
      <c r="DB78" s="15">
        <f>IF(ISNA(VLOOKUP(A78,'Données projet'!$A$139:$I$159,4,0)),0,VLOOKUP(A78,'Données projet'!$A$139:$I$159,4,0))</f>
        <v>12</v>
      </c>
      <c r="DC78" s="16">
        <f>IF(ISNA(VLOOKUP(A78,'Données projet'!$A$139:$I$159,5,0)),0%,VLOOKUP(A78,'Données projet'!$A$139:$I$159,5,0)*VLOOKUP('Données projet'!$B$13,Paramètres!$A$1:$I$89,7,0))</f>
        <v>0.53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53.04121247609671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53.04121247609671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252</v>
      </c>
      <c r="DM78" s="12">
        <f>VLOOKUP(A78,'Données projet'!$A$165:$I$185,9,0)</f>
        <v>6.2</v>
      </c>
      <c r="DN78" s="12">
        <f t="array" ref="DN78">INDEX(DM:DM,MIN(IF(ISNUMBER(DM78:DM274),ROW(DM78:DM274),"")))</f>
        <v>6.2</v>
      </c>
      <c r="DO78" s="12">
        <f>IF('Données projet'!$A$166&gt;35,DO77+DN78-DW77,IF(A78&lt;'Données projet'!$A$166,$DL$205^A78,IF(A78='Données projet'!$A$166,'Données projet'!$B$166,DO77+DN78-DW77)))</f>
        <v>251.99999999999991</v>
      </c>
      <c r="DP78" s="17">
        <f>DO78*VLOOKUP('Données projet'!$B$14,Paramètres!$A$1:$I$89,3,0)*VLOOKUP('Données projet'!$B$14,Paramètres!$A$1:$I$89,5,0)</f>
        <v>255.52799999999993</v>
      </c>
      <c r="DQ78" s="13">
        <f t="shared" si="97"/>
        <v>61.768167868721477</v>
      </c>
      <c r="DR78" s="20">
        <f t="shared" si="70"/>
        <v>552.62415903802309</v>
      </c>
      <c r="DS78" s="59">
        <f t="shared" si="71"/>
        <v>845.95749237135647</v>
      </c>
      <c r="DT78" s="59">
        <f ca="1">AVERAGE(OFFSET($DS$3,0,0,'Données projet'!$E$14+1,1))-AVERAGE(OFFSET($H$3,0,0,'Données projet'!$E$14+1,1))</f>
        <v>308.80022073574963</v>
      </c>
      <c r="DU78" s="59">
        <f t="shared" si="98"/>
        <v>183.96267407004115</v>
      </c>
      <c r="DV78" s="15">
        <f>IF(ISNA(VLOOKUP(A78,'Données projet'!$A$165:$I$185,3,0)),0,VLOOKUP(A78,'Données projet'!$A$165:$I$185,3,0))</f>
        <v>11</v>
      </c>
      <c r="DW78" s="15">
        <f>IF(ISNA(VLOOKUP(A78,'Données projet'!$A$165:$I$185,4,0)),0,VLOOKUP(A78,'Données projet'!$A$165:$I$185,4,0))</f>
        <v>21</v>
      </c>
      <c r="DX78" s="16">
        <f>IF(ISNA(VLOOKUP(A78,'Données projet'!$A$165:$I$185,5,0)),0%,VLOOKUP(A78,'Données projet'!$A$165:$I$185,5,0)*VLOOKUP('Données projet'!$B$14,Paramètres!$A$1:$I$89,7,0))</f>
        <v>0.43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63.328425271379459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63.328425271379459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270</v>
      </c>
      <c r="EH78" s="12">
        <f>VLOOKUP(A78,'Données projet'!$A$191:$I$211,9,0)</f>
        <v>3.4</v>
      </c>
      <c r="EI78" s="12">
        <f t="array" ref="EI78">INDEX(EH:EH,MIN(IF(ISNUMBER(EH78:EH274),ROW(EH78:EH274),"")))</f>
        <v>3.4</v>
      </c>
      <c r="EJ78" s="12">
        <f>IF('Données projet'!$A$192&gt;35,EJ77+EI78-ER77,IF(A78&lt;'Données projet'!$A$192,$EG$205^A78,IF(A78='Données projet'!$A$192,'Données projet'!$B$192,EJ77+EI78-ER77)))</f>
        <v>269.99999999999977</v>
      </c>
      <c r="EK78" s="17">
        <f>EJ78*VLOOKUP('Données projet'!$B$15,Paramètres!$A$1:$I$89,3,0)*VLOOKUP('Données projet'!$B$15,Paramètres!$A$1:$I$89,5,0)</f>
        <v>176.90399999999985</v>
      </c>
      <c r="EL78" s="13">
        <f t="shared" si="99"/>
        <v>44.632689233663115</v>
      </c>
      <c r="EM78" s="20">
        <f t="shared" si="73"/>
        <v>385.843067081963</v>
      </c>
      <c r="EN78" s="59">
        <f t="shared" si="74"/>
        <v>679.17640041529626</v>
      </c>
      <c r="EO78" s="59">
        <f ca="1">AVERAGE(OFFSET($EN$3,0,0,'Données projet'!$E$15+1,1))-AVERAGE(OFFSET($H$3,0,0,'Données projet'!$E$15+1,1))</f>
        <v>178.71569711875242</v>
      </c>
      <c r="EP78" s="59">
        <f t="shared" si="100"/>
        <v>178.13848582064168</v>
      </c>
      <c r="EQ78" s="15">
        <f>IF(ISNA(VLOOKUP(A78,'Données projet'!$A$191:$I$211,3,0)),0,VLOOKUP(A78,'Données projet'!$A$191:$I$211,3,0))</f>
        <v>13</v>
      </c>
      <c r="ER78" s="15">
        <f>IF(ISNA(VLOOKUP(A78,'Données projet'!$A$191:$I$211,4,0)),0,VLOOKUP(A78,'Données projet'!$A$191:$I$211,4,0))</f>
        <v>9</v>
      </c>
      <c r="ES78" s="16">
        <f>IF(ISNA(VLOOKUP(A78,'Données projet'!$A$191:$I$211,5,0)),0%,VLOOKUP(A78,'Données projet'!$A$191:$I$211,5,0)*VLOOKUP('Données projet'!$B$15,Paramètres!$A$1:$I$89,7,0))</f>
        <v>0.43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29.255188888728682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29.255188888728682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252</v>
      </c>
      <c r="FC78" s="12">
        <f>VLOOKUP(A78,'Données projet'!$A$217:$I$237,9,0)</f>
        <v>6.2</v>
      </c>
      <c r="FD78" s="12">
        <f t="array" ref="FD78">INDEX(FC:FC,MIN(IF(ISNUMBER(FC78:FC274),ROW(FC78:FC274),"")))</f>
        <v>6.2</v>
      </c>
      <c r="FE78" s="12">
        <f>IF('Données projet'!$A$218&gt;35,FE77+FD78-FM77,IF(A78&lt;'Données projet'!$A$218,$FB$205^A78,IF(A78='Données projet'!$A$218,'Données projet'!$B$218,FE77+FD78-FM77)))</f>
        <v>251.99999999999991</v>
      </c>
      <c r="FF78" s="17">
        <f>FE78*VLOOKUP('Données projet'!$B$16,Paramètres!$A$1:$I$89,3,0)*VLOOKUP('Données projet'!$B$16,Paramètres!$A$1:$I$89,5,0)</f>
        <v>212.28479999999993</v>
      </c>
      <c r="FG78" s="13">
        <f t="shared" si="101"/>
        <v>52.434557099704143</v>
      </c>
      <c r="FH78" s="20">
        <f t="shared" si="76"/>
        <v>461.05288028198464</v>
      </c>
      <c r="FI78" s="59">
        <f t="shared" si="77"/>
        <v>754.38621361531796</v>
      </c>
      <c r="FJ78" s="59">
        <f ca="1">AVERAGE(OFFSET($FI$3,0,0,'Données projet'!$E$16+1,1))-AVERAGE(OFFSET($H$3,0,0,'Données projet'!$E$16+1,1))</f>
        <v>247.22536892257716</v>
      </c>
      <c r="FK78" s="59">
        <f t="shared" si="102"/>
        <v>147.97952262756075</v>
      </c>
      <c r="FL78" s="15">
        <f>IF(ISNA(VLOOKUP(A78,'Données projet'!$A$217:$I$237,3,0)),0,VLOOKUP(A78,'Données projet'!$A$217:$I$237,3,0))</f>
        <v>11</v>
      </c>
      <c r="FM78" s="15">
        <f>IF(ISNA(VLOOKUP(A78,'Données projet'!$A$217:$I$237,4,0)),0,VLOOKUP(A78,'Données projet'!$A$217:$I$237,4,0))</f>
        <v>21</v>
      </c>
      <c r="FN78" s="16">
        <f>IF(ISNA(VLOOKUP(A78,'Données projet'!$A$217:$I$237,5,0)),0%,VLOOKUP(A78,'Données projet'!$A$217:$I$237,5,0)*VLOOKUP('Données projet'!$B$16,Paramètres!$A$1:$I$89,7,0))</f>
        <v>0.43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52.611307148530642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52.611307148530642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6">
        <f t="shared" si="56"/>
        <v>376.30125896348062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249.0000000000002</v>
      </c>
      <c r="O79" s="13">
        <f>N79*VLOOKUP('Données projet'!$B$9,Paramètres!$A$1:$I$89,3,0)*VLOOKUP('Données projet'!$B$9,Paramètres!$A$1:$I$89,5,0)</f>
        <v>217.52640000000019</v>
      </c>
      <c r="P79" s="13">
        <f t="shared" si="87"/>
        <v>53.576907690651304</v>
      </c>
      <c r="Q79" s="20">
        <f t="shared" si="54"/>
        <v>472.17159422788467</v>
      </c>
      <c r="R79" s="59">
        <f t="shared" si="55"/>
        <v>765.50492756121798</v>
      </c>
      <c r="S79" s="59">
        <f ca="1">AVERAGE(OFFSET($R$3,0,0,'Données projet'!$E$9+1,1))-AVERAGE(OFFSET($H$3,0,0,'Données projet'!$E$9+1,1))</f>
        <v>253.73326067725128</v>
      </c>
      <c r="T79" s="59">
        <f t="shared" si="88"/>
        <v>317.76427047458026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55.453921426554729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55.453921426554729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15.8</v>
      </c>
      <c r="AI79" s="13">
        <f>IF('Données projet'!$A$62&gt;35,AI78+AH79-AQ78,IF(A79&lt;'Données projet'!$A$62,$AF$205^A79,IF(A79='Données projet'!$A$62,'Données projet'!$B$62,AI78+AH79-AQ78)))</f>
        <v>715.79999999999984</v>
      </c>
      <c r="AJ79" s="13">
        <f>AI79*VLOOKUP('Données projet'!$B$10,Paramètres!$A$1:$I$89,3,0)*VLOOKUP('Données projet'!$B$10,Paramètres!$A$1:$I$89,5,0)</f>
        <v>344.29979999999995</v>
      </c>
      <c r="AK79" s="13">
        <f t="shared" si="89"/>
        <v>80.387661522922144</v>
      </c>
      <c r="AL79" s="20">
        <f t="shared" si="58"/>
        <v>739.66399548575589</v>
      </c>
      <c r="AM79" s="59">
        <f t="shared" si="59"/>
        <v>1032.9973288190893</v>
      </c>
      <c r="AN79" s="59">
        <f ca="1">AVERAGE(OFFSET($AM$3,0,0,'Données projet'!$E$10+1,1))-AVERAGE(OFFSET($H$3,0,0,'Données projet'!$E$10+1,1))</f>
        <v>349.65790906807746</v>
      </c>
      <c r="AO79" s="59">
        <f t="shared" si="90"/>
        <v>291.88925884278888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119.46386445997679</v>
      </c>
      <c r="AV79" s="21">
        <f>EXP(-LN(2)/25)*AV78+(1-EXP(-LN(2)/25))/(LN(2)/25)*Calculateur!AQ79*Calculateur!AS79*VLOOKUP('Données projet'!$B$10,Paramètres!$A$1:$I$89,3,0)*0.475*44/12</f>
        <v>11.506349829101072</v>
      </c>
      <c r="AW79" s="21">
        <f>EXP(-LN(2)/2)*AW78+(1-EXP(-LN(2)/2))/(LN(2)/2)*AQ79*AT79*VLOOKUP('Données projet'!$B$10,Paramètres!$A$1:$I$89,3,0)*0.475*44/12</f>
        <v>6.0864210327367895E-9</v>
      </c>
      <c r="AX79" s="21">
        <f t="shared" si="60"/>
        <v>130.97021429516428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3.6</v>
      </c>
      <c r="BD79" s="12">
        <f>IF('Données projet'!$A$88&gt;35,BD78+BC79-BL78,IF(A79&lt;'Données projet'!$A$88,$BA$205^A79,IF(A79='Données projet'!$A$88,'Données projet'!$B$88,BD78+BC79-BL78)))</f>
        <v>315.59999999999991</v>
      </c>
      <c r="BE79" s="13">
        <f>BD79*VLOOKUP('Données projet'!$B$11,Paramètres!$A$1:$I$89,3,0)*VLOOKUP('Données projet'!$B$11,Paramètres!$A$1:$I$89,5,0)</f>
        <v>251.09135999999995</v>
      </c>
      <c r="BF79" s="13">
        <f t="shared" si="91"/>
        <v>60.81957989149403</v>
      </c>
      <c r="BG79" s="20">
        <f t="shared" si="61"/>
        <v>543.24488697768527</v>
      </c>
      <c r="BH79" s="59">
        <f t="shared" si="62"/>
        <v>836.57822031101864</v>
      </c>
      <c r="BI79" s="59">
        <f ca="1">AVERAGE(OFFSET($BH$3,0,0,'Données projet'!$E$11+1,1))-AVERAGE(OFFSET($H$3,0,0,'Données projet'!$E$11+1,1))</f>
        <v>279.49721661620544</v>
      </c>
      <c r="BJ79" s="59">
        <f t="shared" si="92"/>
        <v>275.18739333988754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52.001106651385577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52.001106651385577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2.8</v>
      </c>
      <c r="BY79" s="12">
        <f>IF('Données projet'!$A$114&gt;35,BY78+BX79-CG78,IF(A79&lt;'Données projet'!$A$114,$BV$205^A79,IF(A79='Données projet'!$A$114,'Données projet'!$B$114,BY78+BX79-CG78)))</f>
        <v>263.79999999999978</v>
      </c>
      <c r="BZ79" s="13">
        <f>BY79*VLOOKUP('Données projet'!$B$12,Paramètres!$A$1:$I$89,3,0)*VLOOKUP('Données projet'!$B$12,Paramètres!$A$1:$I$89,5,0)</f>
        <v>255.14735999999979</v>
      </c>
      <c r="CA79" s="13">
        <f t="shared" si="93"/>
        <v>61.686859728645594</v>
      </c>
      <c r="CB79" s="20">
        <f t="shared" si="64"/>
        <v>551.81959936072406</v>
      </c>
      <c r="CC79" s="59">
        <f t="shared" si="65"/>
        <v>845.15293269405743</v>
      </c>
      <c r="CD79" s="59">
        <f ca="1">AVERAGE(OFFSET($CC$3,0,0,'Données projet'!$E$12+1,1))-AVERAGE(OFFSET($H$3,0,0,'Données projet'!$E$12+1,1))</f>
        <v>281.84871057356037</v>
      </c>
      <c r="CE79" s="59">
        <f t="shared" si="94"/>
        <v>276.02211904126887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42.33937556353542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42.33937556353542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3.6</v>
      </c>
      <c r="CT79" s="12">
        <f>IF('Données projet'!$A$140&gt;35,CT78+CS79-DB78,IF(A79&lt;'Données projet'!$A$140,$CQ$205^A79,IF(A79='Données projet'!$A$140,'Données projet'!$B$140,CT78+CS79-DB78)))</f>
        <v>315.59999999999991</v>
      </c>
      <c r="CU79" s="17">
        <f>CT79*VLOOKUP('Données projet'!$B$13,Paramètres!$A$1:$I$89,3,0)*VLOOKUP('Données projet'!$B$13,Paramètres!$A$1:$I$89,5,0)</f>
        <v>251.09135999999995</v>
      </c>
      <c r="CV79" s="13">
        <f t="shared" si="95"/>
        <v>60.81957989149403</v>
      </c>
      <c r="CW79" s="20">
        <f t="shared" si="67"/>
        <v>543.24488697768527</v>
      </c>
      <c r="CX79" s="59">
        <f t="shared" si="68"/>
        <v>836.57822031101864</v>
      </c>
      <c r="CY79" s="59">
        <f ca="1">AVERAGE(OFFSET($CX$3,0,0,'Données projet'!$E$13+1,1))-AVERAGE(OFFSET($H$3,0,0,'Données projet'!$E$13+1,1))</f>
        <v>279.49721661620544</v>
      </c>
      <c r="CZ79" s="59">
        <f t="shared" si="96"/>
        <v>275.18739333988754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52.001106651385577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52.001106651385577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6</v>
      </c>
      <c r="DO79" s="12">
        <f>IF('Données projet'!$A$166&gt;35,DO78+DN79-DW78,IF(A79&lt;'Données projet'!$A$166,$DL$205^A79,IF(A79='Données projet'!$A$166,'Données projet'!$B$166,DO78+DN79-DW78)))</f>
        <v>236.99999999999989</v>
      </c>
      <c r="DP79" s="17">
        <f>DO79*VLOOKUP('Données projet'!$B$14,Paramètres!$A$1:$I$89,3,0)*VLOOKUP('Données projet'!$B$14,Paramètres!$A$1:$I$89,5,0)</f>
        <v>240.3179999999999</v>
      </c>
      <c r="DQ79" s="13">
        <f t="shared" si="97"/>
        <v>58.507944457766484</v>
      </c>
      <c r="DR79" s="20">
        <f t="shared" si="70"/>
        <v>520.45518659727634</v>
      </c>
      <c r="DS79" s="59">
        <f t="shared" si="71"/>
        <v>813.78851993060971</v>
      </c>
      <c r="DT79" s="59">
        <f ca="1">AVERAGE(OFFSET($DS$3,0,0,'Données projet'!$E$14+1,1))-AVERAGE(OFFSET($H$3,0,0,'Données projet'!$E$14+1,1))</f>
        <v>308.80022073574963</v>
      </c>
      <c r="DU79" s="59">
        <f t="shared" si="98"/>
        <v>183.96267407004115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62.086593478333072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62.086593478333072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2.8</v>
      </c>
      <c r="EJ79" s="12">
        <f>IF('Données projet'!$A$192&gt;35,EJ78+EI79-ER78,IF(A79&lt;'Données projet'!$A$192,$EG$205^A79,IF(A79='Données projet'!$A$192,'Données projet'!$B$192,EJ78+EI79-ER78)))</f>
        <v>263.79999999999978</v>
      </c>
      <c r="EK79" s="17">
        <f>EJ79*VLOOKUP('Données projet'!$B$15,Paramètres!$A$1:$I$89,3,0)*VLOOKUP('Données projet'!$B$15,Paramètres!$A$1:$I$89,5,0)</f>
        <v>172.84175999999985</v>
      </c>
      <c r="EL79" s="13">
        <f t="shared" si="99"/>
        <v>43.725867908425457</v>
      </c>
      <c r="EM79" s="20">
        <f t="shared" si="73"/>
        <v>377.18861860717408</v>
      </c>
      <c r="EN79" s="59">
        <f t="shared" si="74"/>
        <v>670.52195194050739</v>
      </c>
      <c r="EO79" s="59">
        <f ca="1">AVERAGE(OFFSET($EN$3,0,0,'Données projet'!$E$15+1,1))-AVERAGE(OFFSET($H$3,0,0,'Données projet'!$E$15+1,1))</f>
        <v>178.71569711875242</v>
      </c>
      <c r="EP79" s="59">
        <f t="shared" si="100"/>
        <v>178.13848582064168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28.681512478523995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28.681512478523995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6</v>
      </c>
      <c r="FE79" s="12">
        <f>IF('Données projet'!$A$218&gt;35,FE78+FD79-FM78,IF(A79&lt;'Données projet'!$A$218,$FB$205^A79,IF(A79='Données projet'!$A$218,'Données projet'!$B$218,FE78+FD79-FM78)))</f>
        <v>236.99999999999989</v>
      </c>
      <c r="FF79" s="17">
        <f>FE79*VLOOKUP('Données projet'!$B$16,Paramètres!$A$1:$I$89,3,0)*VLOOKUP('Données projet'!$B$16,Paramètres!$A$1:$I$89,5,0)</f>
        <v>199.64879999999994</v>
      </c>
      <c r="FG79" s="13">
        <f t="shared" si="101"/>
        <v>49.666976701936271</v>
      </c>
      <c r="FH79" s="20">
        <f t="shared" si="76"/>
        <v>434.22497775587226</v>
      </c>
      <c r="FI79" s="59">
        <f t="shared" si="77"/>
        <v>727.55831108920552</v>
      </c>
      <c r="FJ79" s="59">
        <f ca="1">AVERAGE(OFFSET($FI$3,0,0,'Données projet'!$E$16+1,1))-AVERAGE(OFFSET($H$3,0,0,'Données projet'!$E$16+1,1))</f>
        <v>247.22536892257716</v>
      </c>
      <c r="FK79" s="59">
        <f t="shared" si="102"/>
        <v>147.97952262756075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51.579631505076719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51.579631505076719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6">
        <f t="shared" si="56"/>
        <v>377.36321240284718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249.0000000000002</v>
      </c>
      <c r="O80" s="13">
        <f>N80*VLOOKUP('Données projet'!$B$9,Paramètres!$A$1:$I$89,3,0)*VLOOKUP('Données projet'!$B$9,Paramètres!$A$1:$I$89,5,0)</f>
        <v>217.52640000000019</v>
      </c>
      <c r="P80" s="13">
        <f t="shared" si="87"/>
        <v>53.576907690651304</v>
      </c>
      <c r="Q80" s="20">
        <f t="shared" si="54"/>
        <v>472.17159422788467</v>
      </c>
      <c r="R80" s="59">
        <f t="shared" si="55"/>
        <v>765.50492756121798</v>
      </c>
      <c r="S80" s="59">
        <f ca="1">AVERAGE(OFFSET($R$3,0,0,'Données projet'!$E$9+1,1))-AVERAGE(OFFSET($H$3,0,0,'Données projet'!$E$9+1,1))</f>
        <v>253.73326067725128</v>
      </c>
      <c r="T80" s="59">
        <f t="shared" si="88"/>
        <v>317.76427047458026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54.366503850932261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54.366503850932261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15.8</v>
      </c>
      <c r="AI80" s="13">
        <f>IF('Données projet'!$A$62&gt;35,AI79+AH80-AQ79,IF(A80&lt;'Données projet'!$A$62,$AF$205^A80,IF(A80='Données projet'!$A$62,'Données projet'!$B$62,AI79+AH80-AQ79)))</f>
        <v>731.5999999999998</v>
      </c>
      <c r="AJ80" s="13">
        <f>AI80*VLOOKUP('Données projet'!$B$10,Paramètres!$A$1:$I$89,3,0)*VLOOKUP('Données projet'!$B$10,Paramètres!$A$1:$I$89,5,0)</f>
        <v>351.89959999999985</v>
      </c>
      <c r="AK80" s="13">
        <f t="shared" si="89"/>
        <v>81.95353530100887</v>
      </c>
      <c r="AL80" s="20">
        <f t="shared" si="58"/>
        <v>755.62754398259005</v>
      </c>
      <c r="AM80" s="59">
        <f t="shared" si="59"/>
        <v>1048.9608773159234</v>
      </c>
      <c r="AN80" s="59">
        <f ca="1">AVERAGE(OFFSET($AM$3,0,0,'Données projet'!$E$10+1,1))-AVERAGE(OFFSET($H$3,0,0,'Données projet'!$E$10+1,1))</f>
        <v>349.65790906807746</v>
      </c>
      <c r="AO80" s="59">
        <f t="shared" si="90"/>
        <v>291.88925884278888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117.12125094367907</v>
      </c>
      <c r="AV80" s="21">
        <f>EXP(-LN(2)/25)*AV79+(1-EXP(-LN(2)/25))/(LN(2)/25)*Calculateur!AQ80*Calculateur!AS80*VLOOKUP('Données projet'!$B$10,Paramètres!$A$1:$I$89,3,0)*0.475*44/12</f>
        <v>11.191708087931664</v>
      </c>
      <c r="AW80" s="21">
        <f>EXP(-LN(2)/2)*AW79+(1-EXP(-LN(2)/2))/(LN(2)/2)*AQ80*AT80*VLOOKUP('Données projet'!$B$10,Paramètres!$A$1:$I$89,3,0)*0.475*44/12</f>
        <v>4.3037495854046136E-9</v>
      </c>
      <c r="AX80" s="21">
        <f t="shared" si="60"/>
        <v>128.3129590359145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3.6</v>
      </c>
      <c r="BD80" s="12">
        <f>IF('Données projet'!$A$88&gt;35,BD79+BC80-BL79,IF(A80&lt;'Données projet'!$A$88,$BA$205^A80,IF(A80='Données projet'!$A$88,'Données projet'!$B$88,BD79+BC80-BL79)))</f>
        <v>319.19999999999993</v>
      </c>
      <c r="BE80" s="13">
        <f>BD80*VLOOKUP('Données projet'!$B$11,Paramètres!$A$1:$I$89,3,0)*VLOOKUP('Données projet'!$B$11,Paramètres!$A$1:$I$89,5,0)</f>
        <v>253.95551999999998</v>
      </c>
      <c r="BF80" s="13">
        <f t="shared" si="91"/>
        <v>61.432180511879253</v>
      </c>
      <c r="BG80" s="20">
        <f t="shared" si="61"/>
        <v>549.30024505818972</v>
      </c>
      <c r="BH80" s="59">
        <f t="shared" si="62"/>
        <v>842.63357839152309</v>
      </c>
      <c r="BI80" s="59">
        <f ca="1">AVERAGE(OFFSET($BH$3,0,0,'Données projet'!$E$11+1,1))-AVERAGE(OFFSET($H$3,0,0,'Données projet'!$E$11+1,1))</f>
        <v>279.49721661620544</v>
      </c>
      <c r="BJ80" s="59">
        <f t="shared" si="92"/>
        <v>275.18739333988754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50.981396667495119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50.981396667495119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2.8</v>
      </c>
      <c r="BY80" s="12">
        <f>IF('Données projet'!$A$114&gt;35,BY79+BX80-CG79,IF(A80&lt;'Données projet'!$A$114,$BV$205^A80,IF(A80='Données projet'!$A$114,'Données projet'!$B$114,BY79+BX80-CG79)))</f>
        <v>266.5999999999998</v>
      </c>
      <c r="BZ80" s="13">
        <f>BY80*VLOOKUP('Données projet'!$B$12,Paramètres!$A$1:$I$89,3,0)*VLOOKUP('Données projet'!$B$12,Paramètres!$A$1:$I$89,5,0)</f>
        <v>257.85551999999979</v>
      </c>
      <c r="CA80" s="13">
        <f t="shared" si="93"/>
        <v>62.265041372827518</v>
      </c>
      <c r="CB80" s="20">
        <f t="shared" si="64"/>
        <v>557.54331105767415</v>
      </c>
      <c r="CC80" s="59">
        <f t="shared" si="65"/>
        <v>850.8766443910074</v>
      </c>
      <c r="CD80" s="59">
        <f ca="1">AVERAGE(OFFSET($CC$3,0,0,'Données projet'!$E$12+1,1))-AVERAGE(OFFSET($H$3,0,0,'Données projet'!$E$12+1,1))</f>
        <v>281.84871057356037</v>
      </c>
      <c r="CE80" s="59">
        <f t="shared" si="94"/>
        <v>276.02211904126887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41.509126233203631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41.509126233203631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3.6</v>
      </c>
      <c r="CT80" s="12">
        <f>IF('Données projet'!$A$140&gt;35,CT79+CS80-DB79,IF(A80&lt;'Données projet'!$A$140,$CQ$205^A80,IF(A80='Données projet'!$A$140,'Données projet'!$B$140,CT79+CS80-DB79)))</f>
        <v>319.19999999999993</v>
      </c>
      <c r="CU80" s="17">
        <f>CT80*VLOOKUP('Données projet'!$B$13,Paramètres!$A$1:$I$89,3,0)*VLOOKUP('Données projet'!$B$13,Paramètres!$A$1:$I$89,5,0)</f>
        <v>253.95551999999998</v>
      </c>
      <c r="CV80" s="13">
        <f t="shared" si="95"/>
        <v>61.432180511879253</v>
      </c>
      <c r="CW80" s="20">
        <f t="shared" si="67"/>
        <v>549.30024505818972</v>
      </c>
      <c r="CX80" s="59">
        <f t="shared" si="68"/>
        <v>842.63357839152309</v>
      </c>
      <c r="CY80" s="59">
        <f ca="1">AVERAGE(OFFSET($CX$3,0,0,'Données projet'!$E$13+1,1))-AVERAGE(OFFSET($H$3,0,0,'Données projet'!$E$13+1,1))</f>
        <v>279.49721661620544</v>
      </c>
      <c r="CZ80" s="59">
        <f t="shared" si="96"/>
        <v>275.18739333988754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50.981396667495119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50.981396667495119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6</v>
      </c>
      <c r="DO80" s="12">
        <f>IF('Données projet'!$A$166&gt;35,DO79+DN80-DW79,IF(A80&lt;'Données projet'!$A$166,$DL$205^A80,IF(A80='Données projet'!$A$166,'Données projet'!$B$166,DO79+DN80-DW79)))</f>
        <v>242.99999999999989</v>
      </c>
      <c r="DP80" s="17">
        <f>DO80*VLOOKUP('Données projet'!$B$14,Paramètres!$A$1:$I$89,3,0)*VLOOKUP('Données projet'!$B$14,Paramètres!$A$1:$I$89,5,0)</f>
        <v>246.4019999999999</v>
      </c>
      <c r="DQ80" s="13">
        <f t="shared" si="97"/>
        <v>59.814834475385474</v>
      </c>
      <c r="DR80" s="20">
        <f t="shared" si="70"/>
        <v>533.32765337796286</v>
      </c>
      <c r="DS80" s="59">
        <f t="shared" si="71"/>
        <v>826.66098671129612</v>
      </c>
      <c r="DT80" s="59">
        <f ca="1">AVERAGE(OFFSET($DS$3,0,0,'Données projet'!$E$14+1,1))-AVERAGE(OFFSET($H$3,0,0,'Données projet'!$E$14+1,1))</f>
        <v>308.80022073574963</v>
      </c>
      <c r="DU80" s="59">
        <f t="shared" si="98"/>
        <v>183.96267407004115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60.86911324930572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60.86911324930572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2.8</v>
      </c>
      <c r="EJ80" s="12">
        <f>IF('Données projet'!$A$192&gt;35,EJ79+EI80-ER79,IF(A80&lt;'Données projet'!$A$192,$EG$205^A80,IF(A80='Données projet'!$A$192,'Données projet'!$B$192,EJ79+EI80-ER79)))</f>
        <v>266.5999999999998</v>
      </c>
      <c r="EK80" s="17">
        <f>EJ80*VLOOKUP('Données projet'!$B$15,Paramètres!$A$1:$I$89,3,0)*VLOOKUP('Données projet'!$B$15,Paramètres!$A$1:$I$89,5,0)</f>
        <v>174.67631999999986</v>
      </c>
      <c r="EL80" s="13">
        <f t="shared" si="99"/>
        <v>44.135703881788075</v>
      </c>
      <c r="EM80" s="20">
        <f t="shared" si="73"/>
        <v>381.09760826078065</v>
      </c>
      <c r="EN80" s="59">
        <f t="shared" si="74"/>
        <v>674.43094159411396</v>
      </c>
      <c r="EO80" s="59">
        <f ca="1">AVERAGE(OFFSET($EN$3,0,0,'Données projet'!$E$15+1,1))-AVERAGE(OFFSET($H$3,0,0,'Données projet'!$E$15+1,1))</f>
        <v>178.71569711875242</v>
      </c>
      <c r="EP80" s="59">
        <f t="shared" si="100"/>
        <v>178.13848582064168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28.119085512815364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28.119085512815364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6</v>
      </c>
      <c r="FE80" s="12">
        <f>IF('Données projet'!$A$218&gt;35,FE79+FD80-FM79,IF(A80&lt;'Données projet'!$A$218,$FB$205^A80,IF(A80='Données projet'!$A$218,'Données projet'!$B$218,FE79+FD80-FM79)))</f>
        <v>242.99999999999989</v>
      </c>
      <c r="FF80" s="17">
        <f>FE80*VLOOKUP('Données projet'!$B$16,Paramètres!$A$1:$I$89,3,0)*VLOOKUP('Données projet'!$B$16,Paramètres!$A$1:$I$89,5,0)</f>
        <v>204.70319999999992</v>
      </c>
      <c r="FG80" s="13">
        <f t="shared" si="101"/>
        <v>50.776386315598728</v>
      </c>
      <c r="FH80" s="20">
        <f t="shared" si="76"/>
        <v>444.96027949966765</v>
      </c>
      <c r="FI80" s="59">
        <f t="shared" si="77"/>
        <v>738.29361283300091</v>
      </c>
      <c r="FJ80" s="59">
        <f ca="1">AVERAGE(OFFSET($FI$3,0,0,'Données projet'!$E$16+1,1))-AVERAGE(OFFSET($H$3,0,0,'Données projet'!$E$16+1,1))</f>
        <v>247.22536892257716</v>
      </c>
      <c r="FK80" s="59">
        <f t="shared" si="102"/>
        <v>147.97952262756075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50.568186391730919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50.568186391730919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6">
        <f t="shared" si="56"/>
        <v>378.42482714988546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249.0000000000002</v>
      </c>
      <c r="O81" s="13">
        <f>N81*VLOOKUP('Données projet'!$B$9,Paramètres!$A$1:$I$89,3,0)*VLOOKUP('Données projet'!$B$9,Paramètres!$A$1:$I$89,5,0)</f>
        <v>217.52640000000019</v>
      </c>
      <c r="P81" s="13">
        <f t="shared" si="87"/>
        <v>53.576907690651304</v>
      </c>
      <c r="Q81" s="20">
        <f t="shared" si="54"/>
        <v>472.17159422788467</v>
      </c>
      <c r="R81" s="59">
        <f t="shared" si="55"/>
        <v>765.50492756121798</v>
      </c>
      <c r="S81" s="59">
        <f ca="1">AVERAGE(OFFSET($R$3,0,0,'Données projet'!$E$9+1,1))-AVERAGE(OFFSET($H$3,0,0,'Données projet'!$E$9+1,1))</f>
        <v>253.73326067725128</v>
      </c>
      <c r="T81" s="59">
        <f t="shared" si="88"/>
        <v>317.76427047458026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53.300409870708521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53.300409870708521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15.8</v>
      </c>
      <c r="AI81" s="13">
        <f>IF('Données projet'!$A$62&gt;35,AI80+AH81-AQ80,IF(A81&lt;'Données projet'!$A$62,$AF$205^A81,IF(A81='Données projet'!$A$62,'Données projet'!$B$62,AI80+AH81-AQ80)))</f>
        <v>747.39999999999975</v>
      </c>
      <c r="AJ81" s="13">
        <f>AI81*VLOOKUP('Données projet'!$B$10,Paramètres!$A$1:$I$89,3,0)*VLOOKUP('Données projet'!$B$10,Paramètres!$A$1:$I$89,5,0)</f>
        <v>359.49939999999987</v>
      </c>
      <c r="AK81" s="13">
        <f t="shared" si="89"/>
        <v>83.515477354858348</v>
      </c>
      <c r="AL81" s="20">
        <f t="shared" si="58"/>
        <v>771.58424472637807</v>
      </c>
      <c r="AM81" s="59">
        <f t="shared" si="59"/>
        <v>1064.9175780597113</v>
      </c>
      <c r="AN81" s="59">
        <f ca="1">AVERAGE(OFFSET($AM$3,0,0,'Données projet'!$E$10+1,1))-AVERAGE(OFFSET($H$3,0,0,'Données projet'!$E$10+1,1))</f>
        <v>349.65790906807746</v>
      </c>
      <c r="AO81" s="59">
        <f t="shared" si="90"/>
        <v>291.88925884278888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114.82457464958279</v>
      </c>
      <c r="AV81" s="21">
        <f>EXP(-LN(2)/25)*AV80+(1-EXP(-LN(2)/25))/(LN(2)/25)*Calculateur!AQ81*Calculateur!AS81*VLOOKUP('Données projet'!$B$10,Paramètres!$A$1:$I$89,3,0)*0.475*44/12</f>
        <v>10.885670241720824</v>
      </c>
      <c r="AW81" s="21">
        <f>EXP(-LN(2)/2)*AW80+(1-EXP(-LN(2)/2))/(LN(2)/2)*AQ81*AT81*VLOOKUP('Données projet'!$B$10,Paramètres!$A$1:$I$89,3,0)*0.475*44/12</f>
        <v>3.0432105163683948E-9</v>
      </c>
      <c r="AX81" s="21">
        <f t="shared" si="60"/>
        <v>125.71024489434681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3.6</v>
      </c>
      <c r="BD81" s="12">
        <f>IF('Données projet'!$A$88&gt;35,BD80+BC81-BL80,IF(A81&lt;'Données projet'!$A$88,$BA$205^A81,IF(A81='Données projet'!$A$88,'Données projet'!$B$88,BD80+BC81-BL80)))</f>
        <v>322.79999999999995</v>
      </c>
      <c r="BE81" s="13">
        <f>BD81*VLOOKUP('Données projet'!$B$11,Paramètres!$A$1:$I$89,3,0)*VLOOKUP('Données projet'!$B$11,Paramètres!$A$1:$I$89,5,0)</f>
        <v>256.81968000000001</v>
      </c>
      <c r="BF81" s="13">
        <f t="shared" si="91"/>
        <v>62.043977430851903</v>
      </c>
      <c r="BG81" s="20">
        <f t="shared" si="61"/>
        <v>555.35420335873368</v>
      </c>
      <c r="BH81" s="59">
        <f t="shared" si="62"/>
        <v>848.68753669206694</v>
      </c>
      <c r="BI81" s="59">
        <f ca="1">AVERAGE(OFFSET($BH$3,0,0,'Données projet'!$E$11+1,1))-AVERAGE(OFFSET($H$3,0,0,'Données projet'!$E$11+1,1))</f>
        <v>279.49721661620544</v>
      </c>
      <c r="BJ81" s="59">
        <f t="shared" si="92"/>
        <v>275.18739333988754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49.981682574427076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49.981682574427076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2.8</v>
      </c>
      <c r="BY81" s="12">
        <f>IF('Données projet'!$A$114&gt;35,BY80+BX81-CG80,IF(A81&lt;'Données projet'!$A$114,$BV$205^A81,IF(A81='Données projet'!$A$114,'Données projet'!$B$114,BY80+BX81-CG80)))</f>
        <v>269.39999999999981</v>
      </c>
      <c r="BZ81" s="13">
        <f>BY81*VLOOKUP('Données projet'!$B$12,Paramètres!$A$1:$I$89,3,0)*VLOOKUP('Données projet'!$B$12,Paramètres!$A$1:$I$89,5,0)</f>
        <v>260.56367999999981</v>
      </c>
      <c r="CA81" s="13">
        <f t="shared" si="93"/>
        <v>62.842516604837627</v>
      </c>
      <c r="CB81" s="20">
        <f t="shared" si="64"/>
        <v>563.26579242009177</v>
      </c>
      <c r="CC81" s="59">
        <f t="shared" si="65"/>
        <v>856.59912575342514</v>
      </c>
      <c r="CD81" s="59">
        <f ca="1">AVERAGE(OFFSET($CC$3,0,0,'Données projet'!$E$12+1,1))-AVERAGE(OFFSET($H$3,0,0,'Données projet'!$E$12+1,1))</f>
        <v>281.84871057356037</v>
      </c>
      <c r="CE81" s="59">
        <f t="shared" si="94"/>
        <v>276.02211904126887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40.695157585837556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40.695157585837556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3.6</v>
      </c>
      <c r="CT81" s="12">
        <f>IF('Données projet'!$A$140&gt;35,CT80+CS81-DB80,IF(A81&lt;'Données projet'!$A$140,$CQ$205^A81,IF(A81='Données projet'!$A$140,'Données projet'!$B$140,CT80+CS81-DB80)))</f>
        <v>322.79999999999995</v>
      </c>
      <c r="CU81" s="17">
        <f>CT81*VLOOKUP('Données projet'!$B$13,Paramètres!$A$1:$I$89,3,0)*VLOOKUP('Données projet'!$B$13,Paramètres!$A$1:$I$89,5,0)</f>
        <v>256.81968000000001</v>
      </c>
      <c r="CV81" s="13">
        <f t="shared" si="95"/>
        <v>62.043977430851903</v>
      </c>
      <c r="CW81" s="20">
        <f t="shared" si="67"/>
        <v>555.35420335873368</v>
      </c>
      <c r="CX81" s="59">
        <f t="shared" si="68"/>
        <v>848.68753669206694</v>
      </c>
      <c r="CY81" s="59">
        <f ca="1">AVERAGE(OFFSET($CX$3,0,0,'Données projet'!$E$13+1,1))-AVERAGE(OFFSET($H$3,0,0,'Données projet'!$E$13+1,1))</f>
        <v>279.49721661620544</v>
      </c>
      <c r="CZ81" s="59">
        <f t="shared" si="96"/>
        <v>275.18739333988754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49.981682574427076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49.981682574427076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6</v>
      </c>
      <c r="DO81" s="12">
        <f>IF('Données projet'!$A$166&gt;35,DO80+DN81-DW80,IF(A81&lt;'Données projet'!$A$166,$DL$205^A81,IF(A81='Données projet'!$A$166,'Données projet'!$B$166,DO80+DN81-DW80)))</f>
        <v>248.99999999999989</v>
      </c>
      <c r="DP81" s="17">
        <f>DO81*VLOOKUP('Données projet'!$B$14,Paramètres!$A$1:$I$89,3,0)*VLOOKUP('Données projet'!$B$14,Paramètres!$A$1:$I$89,5,0)</f>
        <v>252.4859999999999</v>
      </c>
      <c r="DQ81" s="13">
        <f t="shared" si="97"/>
        <v>61.117973383957384</v>
      </c>
      <c r="DR81" s="20">
        <f t="shared" si="70"/>
        <v>546.193586977059</v>
      </c>
      <c r="DS81" s="59">
        <f t="shared" si="71"/>
        <v>839.52692031039237</v>
      </c>
      <c r="DT81" s="59">
        <f ca="1">AVERAGE(OFFSET($DS$3,0,0,'Données projet'!$E$14+1,1))-AVERAGE(OFFSET($H$3,0,0,'Données projet'!$E$14+1,1))</f>
        <v>308.80022073574963</v>
      </c>
      <c r="DU81" s="59">
        <f t="shared" si="98"/>
        <v>183.96267407004115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59.675507064979982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59.675507064979982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2.8</v>
      </c>
      <c r="EJ81" s="12">
        <f>IF('Données projet'!$A$192&gt;35,EJ80+EI81-ER80,IF(A81&lt;'Données projet'!$A$192,$EG$205^A81,IF(A81='Données projet'!$A$192,'Données projet'!$B$192,EJ80+EI81-ER80)))</f>
        <v>269.39999999999981</v>
      </c>
      <c r="EK81" s="17">
        <f>EJ81*VLOOKUP('Données projet'!$B$15,Paramètres!$A$1:$I$89,3,0)*VLOOKUP('Données projet'!$B$15,Paramètres!$A$1:$I$89,5,0)</f>
        <v>176.51087999999987</v>
      </c>
      <c r="EL81" s="13">
        <f t="shared" si="99"/>
        <v>44.545039124761026</v>
      </c>
      <c r="EM81" s="20">
        <f t="shared" si="73"/>
        <v>385.00572580895852</v>
      </c>
      <c r="EN81" s="59">
        <f t="shared" si="74"/>
        <v>678.33905914229183</v>
      </c>
      <c r="EO81" s="59">
        <f ca="1">AVERAGE(OFFSET($EN$3,0,0,'Données projet'!$E$15+1,1))-AVERAGE(OFFSET($H$3,0,0,'Données projet'!$E$15+1,1))</f>
        <v>178.71569711875242</v>
      </c>
      <c r="EP81" s="59">
        <f t="shared" si="100"/>
        <v>178.13848582064168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27.5676873968577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27.5676873968577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6</v>
      </c>
      <c r="FE81" s="12">
        <f>IF('Données projet'!$A$218&gt;35,FE80+FD81-FM80,IF(A81&lt;'Données projet'!$A$218,$FB$205^A81,IF(A81='Données projet'!$A$218,'Données projet'!$B$218,FE80+FD81-FM80)))</f>
        <v>248.99999999999989</v>
      </c>
      <c r="FF81" s="17">
        <f>FE81*VLOOKUP('Données projet'!$B$16,Paramètres!$A$1:$I$89,3,0)*VLOOKUP('Données projet'!$B$16,Paramètres!$A$1:$I$89,5,0)</f>
        <v>209.75759999999994</v>
      </c>
      <c r="FG81" s="13">
        <f t="shared" si="101"/>
        <v>51.88261163954845</v>
      </c>
      <c r="FH81" s="20">
        <f t="shared" si="76"/>
        <v>455.69003527221344</v>
      </c>
      <c r="FI81" s="59">
        <f t="shared" si="77"/>
        <v>749.02336860554669</v>
      </c>
      <c r="FJ81" s="59">
        <f ca="1">AVERAGE(OFFSET($FI$3,0,0,'Données projet'!$E$16+1,1))-AVERAGE(OFFSET($H$3,0,0,'Données projet'!$E$16+1,1))</f>
        <v>247.22536892257716</v>
      </c>
      <c r="FK81" s="59">
        <f t="shared" si="102"/>
        <v>147.97952262756075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49.576575100137227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49.576575100137227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6">
        <f t="shared" si="56"/>
        <v>379.48610804888961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249.0000000000002</v>
      </c>
      <c r="O82" s="13">
        <f>N82*VLOOKUP('Données projet'!$B$9,Paramètres!$A$1:$I$89,3,0)*VLOOKUP('Données projet'!$B$9,Paramètres!$A$1:$I$89,5,0)</f>
        <v>217.52640000000019</v>
      </c>
      <c r="P82" s="13">
        <f t="shared" si="87"/>
        <v>53.576907690651304</v>
      </c>
      <c r="Q82" s="20">
        <f t="shared" si="54"/>
        <v>472.17159422788467</v>
      </c>
      <c r="R82" s="59">
        <f t="shared" si="55"/>
        <v>765.50492756121798</v>
      </c>
      <c r="S82" s="59">
        <f ca="1">AVERAGE(OFFSET($R$3,0,0,'Données projet'!$E$9+1,1))-AVERAGE(OFFSET($H$3,0,0,'Données projet'!$E$9+1,1))</f>
        <v>253.73326067725128</v>
      </c>
      <c r="T82" s="59">
        <f t="shared" si="88"/>
        <v>317.76427047458026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52.255221343183848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52.255221343183848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15.8</v>
      </c>
      <c r="AI82" s="13">
        <f>IF('Données projet'!$A$62&gt;35,AI81+AH82-AQ81,IF(A82&lt;'Données projet'!$A$62,$AF$205^A82,IF(A82='Données projet'!$A$62,'Données projet'!$B$62,AI81+AH82-AQ81)))</f>
        <v>763.1999999999997</v>
      </c>
      <c r="AJ82" s="13">
        <f>AI82*VLOOKUP('Données projet'!$B$10,Paramètres!$A$1:$I$89,3,0)*VLOOKUP('Données projet'!$B$10,Paramètres!$A$1:$I$89,5,0)</f>
        <v>367.09919999999988</v>
      </c>
      <c r="AK82" s="13">
        <f t="shared" si="89"/>
        <v>85.073580375557114</v>
      </c>
      <c r="AL82" s="20">
        <f t="shared" si="58"/>
        <v>787.53425915409514</v>
      </c>
      <c r="AM82" s="59">
        <f t="shared" si="59"/>
        <v>1080.8675924874285</v>
      </c>
      <c r="AN82" s="59">
        <f ca="1">AVERAGE(OFFSET($AM$3,0,0,'Données projet'!$E$10+1,1))-AVERAGE(OFFSET($H$3,0,0,'Données projet'!$E$10+1,1))</f>
        <v>349.65790906807746</v>
      </c>
      <c r="AO82" s="59">
        <f t="shared" si="90"/>
        <v>291.88925884278888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112.57293477677952</v>
      </c>
      <c r="AV82" s="21">
        <f>EXP(-LN(2)/25)*AV81+(1-EXP(-LN(2)/25))/(LN(2)/25)*Calculateur!AQ82*Calculateur!AS82*VLOOKUP('Données projet'!$B$10,Paramètres!$A$1:$I$89,3,0)*0.475*44/12</f>
        <v>10.58800101650845</v>
      </c>
      <c r="AW82" s="21">
        <f>EXP(-LN(2)/2)*AW81+(1-EXP(-LN(2)/2))/(LN(2)/2)*AQ82*AT82*VLOOKUP('Données projet'!$B$10,Paramètres!$A$1:$I$89,3,0)*0.475*44/12</f>
        <v>2.1518747927023068E-9</v>
      </c>
      <c r="AX82" s="21">
        <f t="shared" si="60"/>
        <v>123.16093579543984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3.6</v>
      </c>
      <c r="BD82" s="12">
        <f>IF('Données projet'!$A$88&gt;35,BD81+BC82-BL81,IF(A82&lt;'Données projet'!$A$88,$BA$205^A82,IF(A82='Données projet'!$A$88,'Données projet'!$B$88,BD81+BC82-BL81)))</f>
        <v>326.39999999999998</v>
      </c>
      <c r="BE82" s="13">
        <f>BD82*VLOOKUP('Données projet'!$B$11,Paramètres!$A$1:$I$89,3,0)*VLOOKUP('Données projet'!$B$11,Paramètres!$A$1:$I$89,5,0)</f>
        <v>259.68384000000003</v>
      </c>
      <c r="BF82" s="13">
        <f t="shared" si="91"/>
        <v>62.654980648867358</v>
      </c>
      <c r="BG82" s="20">
        <f t="shared" si="61"/>
        <v>561.40677929677736</v>
      </c>
      <c r="BH82" s="59">
        <f t="shared" si="62"/>
        <v>854.74011263011062</v>
      </c>
      <c r="BI82" s="59">
        <f ca="1">AVERAGE(OFFSET($BH$3,0,0,'Données projet'!$E$11+1,1))-AVERAGE(OFFSET($H$3,0,0,'Données projet'!$E$11+1,1))</f>
        <v>279.49721661620544</v>
      </c>
      <c r="BJ82" s="59">
        <f t="shared" si="92"/>
        <v>275.18739333988754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49.00157226495871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49.00157226495871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2.8</v>
      </c>
      <c r="BY82" s="12">
        <f>IF('Données projet'!$A$114&gt;35,BY81+BX82-CG81,IF(A82&lt;'Données projet'!$A$114,$BV$205^A82,IF(A82='Données projet'!$A$114,'Données projet'!$B$114,BY81+BX82-CG81)))</f>
        <v>272.19999999999982</v>
      </c>
      <c r="BZ82" s="13">
        <f>BY82*VLOOKUP('Données projet'!$B$12,Paramètres!$A$1:$I$89,3,0)*VLOOKUP('Données projet'!$B$12,Paramètres!$A$1:$I$89,5,0)</f>
        <v>263.27183999999983</v>
      </c>
      <c r="CA82" s="13">
        <f t="shared" si="93"/>
        <v>63.419293616705005</v>
      </c>
      <c r="CB82" s="20">
        <f t="shared" si="64"/>
        <v>568.9870577157609</v>
      </c>
      <c r="CC82" s="59">
        <f t="shared" si="65"/>
        <v>862.32039104909427</v>
      </c>
      <c r="CD82" s="59">
        <f ca="1">AVERAGE(OFFSET($CC$3,0,0,'Données projet'!$E$12+1,1))-AVERAGE(OFFSET($H$3,0,0,'Données projet'!$E$12+1,1))</f>
        <v>281.84871057356037</v>
      </c>
      <c r="CE82" s="59">
        <f t="shared" si="94"/>
        <v>276.02211904126887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39.897150367174483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39.897150367174483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3.6</v>
      </c>
      <c r="CT82" s="12">
        <f>IF('Données projet'!$A$140&gt;35,CT81+CS82-DB81,IF(A82&lt;'Données projet'!$A$140,$CQ$205^A82,IF(A82='Données projet'!$A$140,'Données projet'!$B$140,CT81+CS82-DB81)))</f>
        <v>326.39999999999998</v>
      </c>
      <c r="CU82" s="17">
        <f>CT82*VLOOKUP('Données projet'!$B$13,Paramètres!$A$1:$I$89,3,0)*VLOOKUP('Données projet'!$B$13,Paramètres!$A$1:$I$89,5,0)</f>
        <v>259.68384000000003</v>
      </c>
      <c r="CV82" s="13">
        <f t="shared" si="95"/>
        <v>62.654980648867358</v>
      </c>
      <c r="CW82" s="20">
        <f t="shared" si="67"/>
        <v>561.40677929677736</v>
      </c>
      <c r="CX82" s="59">
        <f t="shared" si="68"/>
        <v>854.74011263011062</v>
      </c>
      <c r="CY82" s="59">
        <f ca="1">AVERAGE(OFFSET($CX$3,0,0,'Données projet'!$E$13+1,1))-AVERAGE(OFFSET($H$3,0,0,'Données projet'!$E$13+1,1))</f>
        <v>279.49721661620544</v>
      </c>
      <c r="CZ82" s="59">
        <f t="shared" si="96"/>
        <v>275.18739333988754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49.00157226495871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49.00157226495871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6</v>
      </c>
      <c r="DO82" s="12">
        <f>IF('Données projet'!$A$166&gt;35,DO81+DN82-DW81,IF(A82&lt;'Données projet'!$A$166,$DL$205^A82,IF(A82='Données projet'!$A$166,'Données projet'!$B$166,DO81+DN82-DW81)))</f>
        <v>254.99999999999989</v>
      </c>
      <c r="DP82" s="17">
        <f>DO82*VLOOKUP('Données projet'!$B$14,Paramètres!$A$1:$I$89,3,0)*VLOOKUP('Données projet'!$B$14,Paramètres!$A$1:$I$89,5,0)</f>
        <v>258.56999999999994</v>
      </c>
      <c r="DQ82" s="13">
        <f t="shared" si="97"/>
        <v>62.417461971173843</v>
      </c>
      <c r="DR82" s="20">
        <f t="shared" si="70"/>
        <v>559.05316293312762</v>
      </c>
      <c r="DS82" s="59">
        <f t="shared" si="71"/>
        <v>852.38649626646088</v>
      </c>
      <c r="DT82" s="59">
        <f ca="1">AVERAGE(OFFSET($DS$3,0,0,'Données projet'!$E$14+1,1))-AVERAGE(OFFSET($H$3,0,0,'Données projet'!$E$14+1,1))</f>
        <v>308.80022073574963</v>
      </c>
      <c r="DU82" s="59">
        <f t="shared" si="98"/>
        <v>183.96267407004115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58.505306769900983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58.505306769900983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2.8</v>
      </c>
      <c r="EJ82" s="12">
        <f>IF('Données projet'!$A$192&gt;35,EJ81+EI82-ER81,IF(A82&lt;'Données projet'!$A$192,$EG$205^A82,IF(A82='Données projet'!$A$192,'Données projet'!$B$192,EJ81+EI82-ER81)))</f>
        <v>272.19999999999982</v>
      </c>
      <c r="EK82" s="17">
        <f>EJ82*VLOOKUP('Données projet'!$B$15,Paramètres!$A$1:$I$89,3,0)*VLOOKUP('Données projet'!$B$15,Paramètres!$A$1:$I$89,5,0)</f>
        <v>178.34543999999988</v>
      </c>
      <c r="EL82" s="13">
        <f t="shared" si="99"/>
        <v>44.953879444149464</v>
      </c>
      <c r="EM82" s="20">
        <f t="shared" si="73"/>
        <v>388.9129813652267</v>
      </c>
      <c r="EN82" s="59">
        <f t="shared" si="74"/>
        <v>682.24631469856001</v>
      </c>
      <c r="EO82" s="59">
        <f ca="1">AVERAGE(OFFSET($EN$3,0,0,'Données projet'!$E$15+1,1))-AVERAGE(OFFSET($H$3,0,0,'Données projet'!$E$15+1,1))</f>
        <v>178.71569711875242</v>
      </c>
      <c r="EP82" s="59">
        <f t="shared" si="100"/>
        <v>178.13848582064168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27.027101861634325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27.027101861634325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6</v>
      </c>
      <c r="FE82" s="12">
        <f>IF('Données projet'!$A$218&gt;35,FE81+FD82-FM81,IF(A82&lt;'Données projet'!$A$218,$FB$205^A82,IF(A82='Données projet'!$A$218,'Données projet'!$B$218,FE81+FD82-FM81)))</f>
        <v>254.99999999999989</v>
      </c>
      <c r="FF82" s="17">
        <f>FE82*VLOOKUP('Données projet'!$B$16,Paramètres!$A$1:$I$89,3,0)*VLOOKUP('Données projet'!$B$16,Paramètres!$A$1:$I$89,5,0)</f>
        <v>214.81199999999995</v>
      </c>
      <c r="FG82" s="13">
        <f t="shared" si="101"/>
        <v>52.985738231738054</v>
      </c>
      <c r="FH82" s="20">
        <f t="shared" si="76"/>
        <v>466.41439408694367</v>
      </c>
      <c r="FI82" s="59">
        <f t="shared" si="77"/>
        <v>759.74772742027699</v>
      </c>
      <c r="FJ82" s="59">
        <f ca="1">AVERAGE(OFFSET($FI$3,0,0,'Données projet'!$E$16+1,1))-AVERAGE(OFFSET($H$3,0,0,'Données projet'!$E$16+1,1))</f>
        <v>247.22536892257716</v>
      </c>
      <c r="FK82" s="59">
        <f t="shared" si="102"/>
        <v>147.97952262756075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48.604408701148522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48.604408701148522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6">
        <f t="shared" si="56"/>
        <v>380.54705981446097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249.0000000000002</v>
      </c>
      <c r="O83" s="13">
        <f>N83*VLOOKUP('Données projet'!$B$9,Paramètres!$A$1:$I$89,3,0)*VLOOKUP('Données projet'!$B$9,Paramètres!$A$1:$I$89,5,0)</f>
        <v>217.52640000000019</v>
      </c>
      <c r="P83" s="13">
        <f t="shared" si="87"/>
        <v>53.576907690651304</v>
      </c>
      <c r="Q83" s="20">
        <f t="shared" si="54"/>
        <v>472.17159422788467</v>
      </c>
      <c r="R83" s="59">
        <f t="shared" si="55"/>
        <v>765.50492756121798</v>
      </c>
      <c r="S83" s="59">
        <f ca="1">AVERAGE(OFFSET($R$3,0,0,'Données projet'!$E$9+1,1))-AVERAGE(OFFSET($H$3,0,0,'Données projet'!$E$9+1,1))</f>
        <v>253.73326067725128</v>
      </c>
      <c r="T83" s="59">
        <f t="shared" si="88"/>
        <v>317.76427047458026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51.230528325181879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51.230528325181879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779</v>
      </c>
      <c r="AG83" s="12">
        <f>VLOOKUP(A83,'Données projet'!$A$61:$I$81,9,0)</f>
        <v>15.8</v>
      </c>
      <c r="AH83" s="12">
        <f t="array" ref="AH83">INDEX(AG:AG,MIN(IF(ISNUMBER(AG83:AG279),ROW(AG83:AG279),"")))</f>
        <v>15.8</v>
      </c>
      <c r="AI83" s="13">
        <f>IF('Données projet'!$A$62&gt;35,AI82+AH83-AQ82,IF(A83&lt;'Données projet'!$A$62,$AF$205^A83,IF(A83='Données projet'!$A$62,'Données projet'!$B$62,AI82+AH83-AQ82)))</f>
        <v>778.99999999999966</v>
      </c>
      <c r="AJ83" s="13">
        <f>AI83*VLOOKUP('Données projet'!$B$10,Paramètres!$A$1:$I$89,3,0)*VLOOKUP('Données projet'!$B$10,Paramètres!$A$1:$I$89,5,0)</f>
        <v>374.69899999999984</v>
      </c>
      <c r="AK83" s="13">
        <f t="shared" si="89"/>
        <v>86.627932997010461</v>
      </c>
      <c r="AL83" s="20">
        <f t="shared" si="58"/>
        <v>803.47774163645965</v>
      </c>
      <c r="AM83" s="59">
        <f t="shared" si="59"/>
        <v>1096.811074969793</v>
      </c>
      <c r="AN83" s="59">
        <f ca="1">AVERAGE(OFFSET($AM$3,0,0,'Données projet'!$E$10+1,1))-AVERAGE(OFFSET($H$3,0,0,'Données projet'!$E$10+1,1))</f>
        <v>349.65790906807746</v>
      </c>
      <c r="AO83" s="59">
        <f t="shared" si="90"/>
        <v>291.88925884278888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46</v>
      </c>
      <c r="AR83" s="16">
        <f>IF(ISNA(VLOOKUP(A83,'Données projet'!$A$61:$I$81,5,0)),0%,VLOOKUP(A83,'Données projet'!$A$61:$I$81,5,0)*VLOOKUP('Données projet'!$B$10,Paramètres!$A$1:$I$89,7,0))</f>
        <v>0.55000000000000004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126.5088090160976</v>
      </c>
      <c r="AV83" s="21">
        <f>EXP(-LN(2)/25)*AV82+(1-EXP(-LN(2)/25))/(LN(2)/25)*Calculateur!AQ83*Calculateur!AS83*VLOOKUP('Données projet'!$B$10,Paramètres!$A$1:$I$89,3,0)*0.475*44/12</f>
        <v>10.298471571913252</v>
      </c>
      <c r="AW83" s="21">
        <f>EXP(-LN(2)/2)*AW82+(1-EXP(-LN(2)/2))/(LN(2)/2)*AQ83*AT83*VLOOKUP('Données projet'!$B$10,Paramètres!$A$1:$I$89,3,0)*0.475*44/12</f>
        <v>1.5216052581841974E-9</v>
      </c>
      <c r="AX83" s="21">
        <f t="shared" si="60"/>
        <v>136.80728058953247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330</v>
      </c>
      <c r="BB83" s="12">
        <f>VLOOKUP(A83,'Données projet'!$A$87:$I$107,9,0)</f>
        <v>3.6</v>
      </c>
      <c r="BC83" s="12">
        <f t="array" ref="BC83">INDEX(BB:BB,MIN(IF(ISNUMBER(BB83:BB279),ROW(BB83:BB279),"")))</f>
        <v>3.6</v>
      </c>
      <c r="BD83" s="12">
        <f>IF('Données projet'!$A$88&gt;35,BD82+BC83-BL82,IF(A83&lt;'Données projet'!$A$88,$BA$205^A83,IF(A83='Données projet'!$A$88,'Données projet'!$B$88,BD82+BC83-BL82)))</f>
        <v>330</v>
      </c>
      <c r="BE83" s="13">
        <f>BD83*VLOOKUP('Données projet'!$B$11,Paramètres!$A$1:$I$89,3,0)*VLOOKUP('Données projet'!$B$11,Paramètres!$A$1:$I$89,5,0)</f>
        <v>262.548</v>
      </c>
      <c r="BF83" s="13">
        <f t="shared" si="91"/>
        <v>63.265199933079444</v>
      </c>
      <c r="BG83" s="20">
        <f t="shared" si="61"/>
        <v>567.45798988344666</v>
      </c>
      <c r="BH83" s="59">
        <f t="shared" si="62"/>
        <v>860.79132321678003</v>
      </c>
      <c r="BI83" s="59">
        <f ca="1">AVERAGE(OFFSET($BH$3,0,0,'Données projet'!$E$11+1,1))-AVERAGE(OFFSET($H$3,0,0,'Données projet'!$E$11+1,1))</f>
        <v>279.49721661620544</v>
      </c>
      <c r="BJ83" s="59">
        <f t="shared" si="92"/>
        <v>275.18739333988754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11</v>
      </c>
      <c r="BM83" s="16">
        <f>IF(ISNA(VLOOKUP(A83,'Données projet'!$A$87:$I$107,5,0)),0%,VLOOKUP(A83,'Données projet'!$A$87:$I$107,5,0)*VLOOKUP('Données projet'!$B$11,Paramètres!$A$1:$I$89,7,0))</f>
        <v>0.53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53.168237644816656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53.168237644816656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275</v>
      </c>
      <c r="BW83" s="12">
        <f>VLOOKUP(A83,'Données projet'!$A$113:$I$133,9,0)</f>
        <v>2.8</v>
      </c>
      <c r="BX83" s="12">
        <f t="array" ref="BX83">INDEX(BW:BW,MIN(IF(ISNUMBER(BW83:BW279),ROW(BW83:BW279),"")))</f>
        <v>2.8</v>
      </c>
      <c r="BY83" s="12">
        <f>IF('Données projet'!$A$114&gt;35,BY82+BX83-CG82,IF(A83&lt;'Données projet'!$A$114,$BV$205^A83,IF(A83='Données projet'!$A$114,'Données projet'!$B$114,BY82+BX83-CG82)))</f>
        <v>274.99999999999983</v>
      </c>
      <c r="BZ83" s="13">
        <f>BY83*VLOOKUP('Données projet'!$B$12,Paramètres!$A$1:$I$89,3,0)*VLOOKUP('Données projet'!$B$12,Paramètres!$A$1:$I$89,5,0)</f>
        <v>265.97999999999985</v>
      </c>
      <c r="CA83" s="13">
        <f t="shared" si="93"/>
        <v>63.995380422211589</v>
      </c>
      <c r="CB83" s="20">
        <f t="shared" si="64"/>
        <v>574.70712090201823</v>
      </c>
      <c r="CC83" s="59">
        <f t="shared" si="65"/>
        <v>868.04045423535149</v>
      </c>
      <c r="CD83" s="59">
        <f ca="1">AVERAGE(OFFSET($CC$3,0,0,'Données projet'!$E$12+1,1))-AVERAGE(OFFSET($H$3,0,0,'Données projet'!$E$12+1,1))</f>
        <v>281.84871057356037</v>
      </c>
      <c r="CE83" s="59">
        <f t="shared" si="94"/>
        <v>276.02211904126887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8</v>
      </c>
      <c r="CH83" s="16">
        <f>IF(ISNA(VLOOKUP(A83,'Données projet'!$A$113:$I$133,5,0)),0%,VLOOKUP(A83,'Données projet'!$A$113:$I$133,5,0)*VLOOKUP('Données projet'!$B$12,Paramètres!$A$1:$I$89,7,0))</f>
        <v>0.43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42.792877255062933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42.792877255062933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330</v>
      </c>
      <c r="CR83" s="12">
        <f>VLOOKUP(A83,'Données projet'!$A$139:$I$159,9,0)</f>
        <v>3.6</v>
      </c>
      <c r="CS83" s="12">
        <f t="array" ref="CS83">INDEX(CR:CR,MIN(IF(ISNUMBER(CR83:CR279),ROW(CR83:CR279),"")))</f>
        <v>3.6</v>
      </c>
      <c r="CT83" s="12">
        <f>IF('Données projet'!$A$140&gt;35,CT82+CS83-DB82,IF(A83&lt;'Données projet'!$A$140,$CQ$205^A83,IF(A83='Données projet'!$A$140,'Données projet'!$B$140,CT82+CS83-DB82)))</f>
        <v>330</v>
      </c>
      <c r="CU83" s="17">
        <f>CT83*VLOOKUP('Données projet'!$B$13,Paramètres!$A$1:$I$89,3,0)*VLOOKUP('Données projet'!$B$13,Paramètres!$A$1:$I$89,5,0)</f>
        <v>262.548</v>
      </c>
      <c r="CV83" s="13">
        <f t="shared" si="95"/>
        <v>63.265199933079444</v>
      </c>
      <c r="CW83" s="20">
        <f t="shared" si="67"/>
        <v>567.45798988344666</v>
      </c>
      <c r="CX83" s="59">
        <f t="shared" si="68"/>
        <v>860.79132321678003</v>
      </c>
      <c r="CY83" s="59">
        <f ca="1">AVERAGE(OFFSET($CX$3,0,0,'Données projet'!$E$13+1,1))-AVERAGE(OFFSET($H$3,0,0,'Données projet'!$E$13+1,1))</f>
        <v>279.49721661620544</v>
      </c>
      <c r="CZ83" s="59">
        <f t="shared" si="96"/>
        <v>275.18739333988754</v>
      </c>
      <c r="DA83" s="15">
        <f>IF(ISNA(VLOOKUP(A83,'Données projet'!$A$139:$I$159,3,0)),0,VLOOKUP(A83,'Données projet'!$A$139:$I$159,3,0))</f>
        <v>14</v>
      </c>
      <c r="DB83" s="15">
        <f>IF(ISNA(VLOOKUP(A83,'Données projet'!$A$139:$I$159,4,0)),0,VLOOKUP(A83,'Données projet'!$A$139:$I$159,4,0))</f>
        <v>11</v>
      </c>
      <c r="DC83" s="16">
        <f>IF(ISNA(VLOOKUP(A83,'Données projet'!$A$139:$I$159,5,0)),0%,VLOOKUP(A83,'Données projet'!$A$139:$I$159,5,0)*VLOOKUP('Données projet'!$B$13,Paramètres!$A$1:$I$89,7,0))</f>
        <v>0.53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53.168237644816656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53.168237644816656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261</v>
      </c>
      <c r="DM83" s="12">
        <f>VLOOKUP(A83,'Données projet'!$A$165:$I$185,9,0)</f>
        <v>6</v>
      </c>
      <c r="DN83" s="12">
        <f t="array" ref="DN83">INDEX(DM:DM,MIN(IF(ISNUMBER(DM83:DM279),ROW(DM83:DM279),"")))</f>
        <v>6</v>
      </c>
      <c r="DO83" s="12">
        <f>IF('Données projet'!$A$166&gt;35,DO82+DN83-DW82,IF(A83&lt;'Données projet'!$A$166,$DL$205^A83,IF(A83='Données projet'!$A$166,'Données projet'!$B$166,DO82+DN83-DW82)))</f>
        <v>260.99999999999989</v>
      </c>
      <c r="DP83" s="17">
        <f>DO83*VLOOKUP('Données projet'!$B$14,Paramètres!$A$1:$I$89,3,0)*VLOOKUP('Données projet'!$B$14,Paramètres!$A$1:$I$89,5,0)</f>
        <v>264.65399999999988</v>
      </c>
      <c r="DQ83" s="13">
        <f t="shared" si="97"/>
        <v>63.71339601121106</v>
      </c>
      <c r="DR83" s="20">
        <f t="shared" si="70"/>
        <v>571.90654805285897</v>
      </c>
      <c r="DS83" s="59">
        <f t="shared" si="71"/>
        <v>865.23988138619234</v>
      </c>
      <c r="DT83" s="59">
        <f ca="1">AVERAGE(OFFSET($DS$3,0,0,'Données projet'!$E$14+1,1))-AVERAGE(OFFSET($H$3,0,0,'Données projet'!$E$14+1,1))</f>
        <v>308.80022073574963</v>
      </c>
      <c r="DU83" s="59">
        <f t="shared" si="98"/>
        <v>183.96267407004115</v>
      </c>
      <c r="DV83" s="15">
        <f>IF(ISNA(VLOOKUP(A83,'Données projet'!$A$165:$I$185,3,0)),0,VLOOKUP(A83,'Données projet'!$A$165:$I$185,3,0))</f>
        <v>12</v>
      </c>
      <c r="DW83" s="15">
        <f>IF(ISNA(VLOOKUP(A83,'Données projet'!$A$165:$I$185,4,0)),0,VLOOKUP(A83,'Données projet'!$A$165:$I$185,4,0))</f>
        <v>21</v>
      </c>
      <c r="DX83" s="16">
        <f>IF(ISNA(VLOOKUP(A83,'Données projet'!$A$165:$I$185,5,0)),0%,VLOOKUP(A83,'Données projet'!$A$165:$I$185,5,0)*VLOOKUP('Données projet'!$B$14,Paramètres!$A$1:$I$89,7,0))</f>
        <v>0.43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67.480204481419875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67.480204481419875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275</v>
      </c>
      <c r="EH83" s="12">
        <f>VLOOKUP(A83,'Données projet'!$A$191:$I$211,9,0)</f>
        <v>2.8</v>
      </c>
      <c r="EI83" s="12">
        <f t="array" ref="EI83">INDEX(EH:EH,MIN(IF(ISNUMBER(EH83:EH279),ROW(EH83:EH279),"")))</f>
        <v>2.8</v>
      </c>
      <c r="EJ83" s="12">
        <f>IF('Données projet'!$A$192&gt;35,EJ82+EI83-ER82,IF(A83&lt;'Données projet'!$A$192,$EG$205^A83,IF(A83='Données projet'!$A$192,'Données projet'!$B$192,EJ82+EI83-ER82)))</f>
        <v>274.99999999999983</v>
      </c>
      <c r="EK83" s="17">
        <f>EJ83*VLOOKUP('Données projet'!$B$15,Paramètres!$A$1:$I$89,3,0)*VLOOKUP('Données projet'!$B$15,Paramètres!$A$1:$I$89,5,0)</f>
        <v>180.17999999999989</v>
      </c>
      <c r="EL83" s="13">
        <f t="shared" si="99"/>
        <v>45.362230520410648</v>
      </c>
      <c r="EM83" s="20">
        <f t="shared" si="73"/>
        <v>392.81938482304832</v>
      </c>
      <c r="EN83" s="59">
        <f t="shared" si="74"/>
        <v>686.15271815638164</v>
      </c>
      <c r="EO83" s="59">
        <f ca="1">AVERAGE(OFFSET($EN$3,0,0,'Données projet'!$E$15+1,1))-AVERAGE(OFFSET($H$3,0,0,'Données projet'!$E$15+1,1))</f>
        <v>178.71569711875242</v>
      </c>
      <c r="EP83" s="59">
        <f t="shared" si="100"/>
        <v>178.13848582064168</v>
      </c>
      <c r="EQ83" s="15">
        <f>IF(ISNA(VLOOKUP(A83,'Données projet'!$A$191:$I$211,3,0)),0,VLOOKUP(A83,'Données projet'!$A$191:$I$211,3,0))</f>
        <v>14</v>
      </c>
      <c r="ER83" s="15">
        <f>IF(ISNA(VLOOKUP(A83,'Données projet'!$A$191:$I$211,4,0)),0,VLOOKUP(A83,'Données projet'!$A$191:$I$211,4,0))</f>
        <v>8</v>
      </c>
      <c r="ES83" s="16">
        <f>IF(ISNA(VLOOKUP(A83,'Données projet'!$A$191:$I$211,5,0)),0%,VLOOKUP(A83,'Données projet'!$A$191:$I$211,5,0)*VLOOKUP('Données projet'!$B$15,Paramètres!$A$1:$I$89,7,0))</f>
        <v>0.43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28.988723301816826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28.988723301816826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261</v>
      </c>
      <c r="FC83" s="12">
        <f>VLOOKUP(A83,'Données projet'!$A$217:$I$237,9,0)</f>
        <v>6</v>
      </c>
      <c r="FD83" s="12">
        <f t="array" ref="FD83">INDEX(FC:FC,MIN(IF(ISNUMBER(FC83:FC279),ROW(FC83:FC279),"")))</f>
        <v>6</v>
      </c>
      <c r="FE83" s="12">
        <f>IF('Données projet'!$A$218&gt;35,FE82+FD83-FM82,IF(A83&lt;'Données projet'!$A$218,$FB$205^A83,IF(A83='Données projet'!$A$218,'Données projet'!$B$218,FE82+FD83-FM82)))</f>
        <v>260.99999999999989</v>
      </c>
      <c r="FF83" s="17">
        <f>FE83*VLOOKUP('Données projet'!$B$16,Paramètres!$A$1:$I$89,3,0)*VLOOKUP('Données projet'!$B$16,Paramètres!$A$1:$I$89,5,0)</f>
        <v>219.86639999999991</v>
      </c>
      <c r="FG83" s="13">
        <f t="shared" si="101"/>
        <v>54.085847394182416</v>
      </c>
      <c r="FH83" s="20">
        <f t="shared" si="76"/>
        <v>477.13349754486757</v>
      </c>
      <c r="FI83" s="59">
        <f t="shared" si="77"/>
        <v>770.46683087820088</v>
      </c>
      <c r="FJ83" s="59">
        <f ca="1">AVERAGE(OFFSET($FI$3,0,0,'Données projet'!$E$16+1,1))-AVERAGE(OFFSET($H$3,0,0,'Données projet'!$E$16+1,1))</f>
        <v>247.22536892257716</v>
      </c>
      <c r="FK83" s="59">
        <f t="shared" si="102"/>
        <v>147.97952262756075</v>
      </c>
      <c r="FL83" s="15">
        <f>IF(ISNA(VLOOKUP(A83,'Données projet'!$A$217:$I$237,3,0)),0,VLOOKUP(A83,'Données projet'!$A$217:$I$237,3,0))</f>
        <v>12</v>
      </c>
      <c r="FM83" s="15">
        <f>IF(ISNA(VLOOKUP(A83,'Données projet'!$A$217:$I$237,4,0)),0,VLOOKUP(A83,'Données projet'!$A$217:$I$237,4,0))</f>
        <v>21</v>
      </c>
      <c r="FN83" s="16">
        <f>IF(ISNA(VLOOKUP(A83,'Données projet'!$A$217:$I$237,5,0)),0%,VLOOKUP(A83,'Données projet'!$A$217:$I$237,5,0)*VLOOKUP('Données projet'!$B$16,Paramètres!$A$1:$I$89,7,0))</f>
        <v>0.43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56.060477569179596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56.060477569179596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6">
        <f t="shared" si="56"/>
        <v>381.60768703655714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249.0000000000002</v>
      </c>
      <c r="O84" s="13">
        <f>N84*VLOOKUP('Données projet'!$B$9,Paramètres!$A$1:$I$89,3,0)*VLOOKUP('Données projet'!$B$9,Paramètres!$A$1:$I$89,5,0)</f>
        <v>217.52640000000019</v>
      </c>
      <c r="P84" s="13">
        <f t="shared" si="87"/>
        <v>53.576907690651304</v>
      </c>
      <c r="Q84" s="20">
        <f t="shared" si="54"/>
        <v>472.17159422788467</v>
      </c>
      <c r="R84" s="59">
        <f t="shared" si="55"/>
        <v>765.50492756121798</v>
      </c>
      <c r="S84" s="59">
        <f ca="1">AVERAGE(OFFSET($R$3,0,0,'Données projet'!$E$9+1,1))-AVERAGE(OFFSET($H$3,0,0,'Données projet'!$E$9+1,1))</f>
        <v>253.73326067725128</v>
      </c>
      <c r="T84" s="59">
        <f t="shared" si="88"/>
        <v>317.76427047458026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50.225928912261899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50.225928912261899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732.99999999999966</v>
      </c>
      <c r="AJ84" s="13">
        <f>AI84*VLOOKUP('Données projet'!$B$10,Paramètres!$A$1:$I$89,3,0)*VLOOKUP('Données projet'!$B$10,Paramètres!$A$1:$I$89,5,0)</f>
        <v>352.57299999999987</v>
      </c>
      <c r="AK84" s="13">
        <f t="shared" si="89"/>
        <v>82.092092597941644</v>
      </c>
      <c r="AL84" s="20">
        <f t="shared" si="58"/>
        <v>757.04170294141477</v>
      </c>
      <c r="AM84" s="59">
        <f t="shared" si="59"/>
        <v>1050.375036274748</v>
      </c>
      <c r="AN84" s="59">
        <f ca="1">AVERAGE(OFFSET($AM$3,0,0,'Données projet'!$E$10+1,1))-AVERAGE(OFFSET($H$3,0,0,'Données projet'!$E$10+1,1))</f>
        <v>349.65790906807746</v>
      </c>
      <c r="AO84" s="59">
        <f t="shared" si="90"/>
        <v>291.88925884278888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124.02804843404624</v>
      </c>
      <c r="AV84" s="21">
        <f>EXP(-LN(2)/25)*AV83+(1-EXP(-LN(2)/25))/(LN(2)/25)*Calculateur!AQ84*Calculateur!AS84*VLOOKUP('Données projet'!$B$10,Paramètres!$A$1:$I$89,3,0)*0.475*44/12</f>
        <v>10.016859325206202</v>
      </c>
      <c r="AW84" s="21">
        <f>EXP(-LN(2)/2)*AW83+(1-EXP(-LN(2)/2))/(LN(2)/2)*AQ84*AT84*VLOOKUP('Données projet'!$B$10,Paramètres!$A$1:$I$89,3,0)*0.475*44/12</f>
        <v>1.0759373963511534E-9</v>
      </c>
      <c r="AX84" s="21">
        <f t="shared" si="60"/>
        <v>134.04490776032839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319</v>
      </c>
      <c r="BE84" s="13">
        <f>BD84*VLOOKUP('Données projet'!$B$11,Paramètres!$A$1:$I$89,3,0)*VLOOKUP('Données projet'!$B$11,Paramètres!$A$1:$I$89,5,0)</f>
        <v>253.79640000000001</v>
      </c>
      <c r="BF84" s="13">
        <f t="shared" si="91"/>
        <v>61.39816832228076</v>
      </c>
      <c r="BG84" s="20">
        <f t="shared" si="61"/>
        <v>548.96387316130563</v>
      </c>
      <c r="BH84" s="59">
        <f t="shared" si="62"/>
        <v>842.29720649463889</v>
      </c>
      <c r="BI84" s="59">
        <f ca="1">AVERAGE(OFFSET($BH$3,0,0,'Données projet'!$E$11+1,1))-AVERAGE(OFFSET($H$3,0,0,'Données projet'!$E$11+1,1))</f>
        <v>279.49721661620544</v>
      </c>
      <c r="BJ84" s="59">
        <f t="shared" si="92"/>
        <v>275.18739333988754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52.125640934024624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52.125640934024624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266.99999999999983</v>
      </c>
      <c r="BZ84" s="13">
        <f>BY84*VLOOKUP('Données projet'!$B$12,Paramètres!$A$1:$I$89,3,0)*VLOOKUP('Données projet'!$B$12,Paramètres!$A$1:$I$89,5,0)</f>
        <v>258.24239999999986</v>
      </c>
      <c r="CA84" s="13">
        <f t="shared" si="93"/>
        <v>62.347580891234152</v>
      </c>
      <c r="CB84" s="20">
        <f t="shared" si="64"/>
        <v>558.3608833855659</v>
      </c>
      <c r="CC84" s="59">
        <f t="shared" si="65"/>
        <v>851.69421671889927</v>
      </c>
      <c r="CD84" s="59">
        <f ca="1">AVERAGE(OFFSET($CC$3,0,0,'Données projet'!$E$12+1,1))-AVERAGE(OFFSET($H$3,0,0,'Données projet'!$E$12+1,1))</f>
        <v>281.84871057356037</v>
      </c>
      <c r="CE84" s="59">
        <f t="shared" si="94"/>
        <v>276.02211904126887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41.953735033169011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41.953735033169011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319</v>
      </c>
      <c r="CU84" s="17">
        <f>CT84*VLOOKUP('Données projet'!$B$13,Paramètres!$A$1:$I$89,3,0)*VLOOKUP('Données projet'!$B$13,Paramètres!$A$1:$I$89,5,0)</f>
        <v>253.79640000000001</v>
      </c>
      <c r="CV84" s="13">
        <f t="shared" si="95"/>
        <v>61.39816832228076</v>
      </c>
      <c r="CW84" s="20">
        <f t="shared" si="67"/>
        <v>548.96387316130563</v>
      </c>
      <c r="CX84" s="59">
        <f t="shared" si="68"/>
        <v>842.29720649463889</v>
      </c>
      <c r="CY84" s="59">
        <f ca="1">AVERAGE(OFFSET($CX$3,0,0,'Données projet'!$E$13+1,1))-AVERAGE(OFFSET($H$3,0,0,'Données projet'!$E$13+1,1))</f>
        <v>279.49721661620544</v>
      </c>
      <c r="CZ84" s="59">
        <f t="shared" si="96"/>
        <v>275.18739333988754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52.125640934024624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52.125640934024624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5.8</v>
      </c>
      <c r="DO84" s="12">
        <f>IF('Données projet'!$A$166&gt;35,DO83+DN84-DW83,IF(A84&lt;'Données projet'!$A$166,$DL$205^A84,IF(A84='Données projet'!$A$166,'Données projet'!$B$166,DO83+DN84-DW83)))</f>
        <v>245.7999999999999</v>
      </c>
      <c r="DP84" s="17">
        <f>DO84*VLOOKUP('Données projet'!$B$14,Paramètres!$A$1:$I$89,3,0)*VLOOKUP('Données projet'!$B$14,Paramètres!$A$1:$I$89,5,0)</f>
        <v>249.24119999999988</v>
      </c>
      <c r="DQ84" s="13">
        <f t="shared" si="97"/>
        <v>60.42342651744687</v>
      </c>
      <c r="DR84" s="20">
        <f t="shared" si="70"/>
        <v>539.3325578512198</v>
      </c>
      <c r="DS84" s="59">
        <f t="shared" si="71"/>
        <v>832.66589118455317</v>
      </c>
      <c r="DT84" s="59">
        <f ca="1">AVERAGE(OFFSET($DS$3,0,0,'Données projet'!$E$14+1,1))-AVERAGE(OFFSET($H$3,0,0,'Données projet'!$E$14+1,1))</f>
        <v>308.80022073574963</v>
      </c>
      <c r="DU84" s="59">
        <f t="shared" si="98"/>
        <v>183.96267407004115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66.156958830399859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66.156958830399859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266.99999999999983</v>
      </c>
      <c r="EK84" s="17">
        <f>EJ84*VLOOKUP('Données projet'!$B$15,Paramètres!$A$1:$I$89,3,0)*VLOOKUP('Données projet'!$B$15,Paramètres!$A$1:$I$89,5,0)</f>
        <v>174.93839999999989</v>
      </c>
      <c r="EL84" s="13">
        <f t="shared" si="99"/>
        <v>44.194210865203175</v>
      </c>
      <c r="EM84" s="20">
        <f t="shared" si="73"/>
        <v>381.65596392356196</v>
      </c>
      <c r="EN84" s="59">
        <f t="shared" si="74"/>
        <v>674.98929725689527</v>
      </c>
      <c r="EO84" s="59">
        <f ca="1">AVERAGE(OFFSET($EN$3,0,0,'Données projet'!$E$15+1,1))-AVERAGE(OFFSET($H$3,0,0,'Données projet'!$E$15+1,1))</f>
        <v>178.71569711875242</v>
      </c>
      <c r="EP84" s="59">
        <f t="shared" si="100"/>
        <v>178.13848582064168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28.420272119243521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28.420272119243521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5.8</v>
      </c>
      <c r="FE84" s="12">
        <f>IF('Données projet'!$A$218&gt;35,FE83+FD84-FM83,IF(A84&lt;'Données projet'!$A$218,$FB$205^A84,IF(A84='Données projet'!$A$218,'Données projet'!$B$218,FE83+FD84-FM83)))</f>
        <v>245.7999999999999</v>
      </c>
      <c r="FF84" s="17">
        <f>FE84*VLOOKUP('Données projet'!$B$16,Paramètres!$A$1:$I$89,3,0)*VLOOKUP('Données projet'!$B$16,Paramètres!$A$1:$I$89,5,0)</f>
        <v>207.06191999999993</v>
      </c>
      <c r="FG84" s="13">
        <f t="shared" si="101"/>
        <v>51.293015758902222</v>
      </c>
      <c r="FH84" s="20">
        <f t="shared" si="76"/>
        <v>449.96817978008789</v>
      </c>
      <c r="FI84" s="59">
        <f t="shared" si="77"/>
        <v>743.30151311342115</v>
      </c>
      <c r="FJ84" s="59">
        <f ca="1">AVERAGE(OFFSET($FI$3,0,0,'Données projet'!$E$16+1,1))-AVERAGE(OFFSET($H$3,0,0,'Données projet'!$E$16+1,1))</f>
        <v>247.22536892257716</v>
      </c>
      <c r="FK84" s="59">
        <f t="shared" si="102"/>
        <v>147.97952262756075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54.96116579756297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54.96116579756297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6">
        <f t="shared" si="56"/>
        <v>382.66799418528461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249.0000000000002</v>
      </c>
      <c r="O85" s="13">
        <f>N85*VLOOKUP('Données projet'!$B$9,Paramètres!$A$1:$I$89,3,0)*VLOOKUP('Données projet'!$B$9,Paramètres!$A$1:$I$89,5,0)</f>
        <v>217.52640000000019</v>
      </c>
      <c r="P85" s="13">
        <f t="shared" si="87"/>
        <v>53.576907690651304</v>
      </c>
      <c r="Q85" s="20">
        <f t="shared" si="54"/>
        <v>472.17159422788467</v>
      </c>
      <c r="R85" s="59">
        <f t="shared" si="55"/>
        <v>765.50492756121798</v>
      </c>
      <c r="S85" s="59">
        <f ca="1">AVERAGE(OFFSET($R$3,0,0,'Données projet'!$E$9+1,1))-AVERAGE(OFFSET($H$3,0,0,'Données projet'!$E$9+1,1))</f>
        <v>253.73326067725128</v>
      </c>
      <c r="T85" s="59">
        <f t="shared" si="88"/>
        <v>317.76427047458026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49.241029081084143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49.241029081084143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732.99999999999966</v>
      </c>
      <c r="AJ85" s="13">
        <f>AI85*VLOOKUP('Données projet'!$B$10,Paramètres!$A$1:$I$89,3,0)*VLOOKUP('Données projet'!$B$10,Paramètres!$A$1:$I$89,5,0)</f>
        <v>352.57299999999987</v>
      </c>
      <c r="AK85" s="13">
        <f t="shared" si="89"/>
        <v>82.092092597941644</v>
      </c>
      <c r="AL85" s="20">
        <f t="shared" si="58"/>
        <v>757.04170294141477</v>
      </c>
      <c r="AM85" s="59">
        <f t="shared" si="59"/>
        <v>1050.375036274748</v>
      </c>
      <c r="AN85" s="59">
        <f ca="1">AVERAGE(OFFSET($AM$3,0,0,'Données projet'!$E$10+1,1))-AVERAGE(OFFSET($H$3,0,0,'Données projet'!$E$10+1,1))</f>
        <v>349.65790906807746</v>
      </c>
      <c r="AO85" s="59">
        <f t="shared" si="90"/>
        <v>291.88925884278888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121.59593405389435</v>
      </c>
      <c r="AV85" s="21">
        <f>EXP(-LN(2)/25)*AV84+(1-EXP(-LN(2)/25))/(LN(2)/25)*Calculateur!AQ85*Calculateur!AS85*VLOOKUP('Données projet'!$B$10,Paramètres!$A$1:$I$89,3,0)*0.475*44/12</f>
        <v>9.7429477801947009</v>
      </c>
      <c r="AW85" s="21">
        <f>EXP(-LN(2)/2)*AW84+(1-EXP(-LN(2)/2))/(LN(2)/2)*AQ85*AT85*VLOOKUP('Données projet'!$B$10,Paramètres!$A$1:$I$89,3,0)*0.475*44/12</f>
        <v>7.6080262909209869E-10</v>
      </c>
      <c r="AX85" s="21">
        <f t="shared" si="60"/>
        <v>131.33888183484984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319</v>
      </c>
      <c r="BE85" s="13">
        <f>BD85*VLOOKUP('Données projet'!$B$11,Paramètres!$A$1:$I$89,3,0)*VLOOKUP('Données projet'!$B$11,Paramètres!$A$1:$I$89,5,0)</f>
        <v>253.79640000000001</v>
      </c>
      <c r="BF85" s="13">
        <f t="shared" si="91"/>
        <v>61.39816832228076</v>
      </c>
      <c r="BG85" s="20">
        <f t="shared" si="61"/>
        <v>548.96387316130563</v>
      </c>
      <c r="BH85" s="59">
        <f t="shared" si="62"/>
        <v>842.29720649463889</v>
      </c>
      <c r="BI85" s="59">
        <f ca="1">AVERAGE(OFFSET($BH$3,0,0,'Données projet'!$E$11+1,1))-AVERAGE(OFFSET($H$3,0,0,'Données projet'!$E$11+1,1))</f>
        <v>279.49721661620544</v>
      </c>
      <c r="BJ85" s="59">
        <f t="shared" si="92"/>
        <v>275.18739333988754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51.103488908810021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51.103488908810021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266.99999999999983</v>
      </c>
      <c r="BZ85" s="13">
        <f>BY85*VLOOKUP('Données projet'!$B$12,Paramètres!$A$1:$I$89,3,0)*VLOOKUP('Données projet'!$B$12,Paramètres!$A$1:$I$89,5,0)</f>
        <v>258.24239999999986</v>
      </c>
      <c r="CA85" s="13">
        <f t="shared" si="93"/>
        <v>62.347580891234152</v>
      </c>
      <c r="CB85" s="20">
        <f t="shared" si="64"/>
        <v>558.3608833855659</v>
      </c>
      <c r="CC85" s="59">
        <f t="shared" si="65"/>
        <v>851.69421671889927</v>
      </c>
      <c r="CD85" s="59">
        <f ca="1">AVERAGE(OFFSET($CC$3,0,0,'Données projet'!$E$12+1,1))-AVERAGE(OFFSET($H$3,0,0,'Données projet'!$E$12+1,1))</f>
        <v>281.84871057356037</v>
      </c>
      <c r="CE85" s="59">
        <f t="shared" si="94"/>
        <v>276.02211904126887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41.131047878420205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41.131047878420205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319</v>
      </c>
      <c r="CU85" s="17">
        <f>CT85*VLOOKUP('Données projet'!$B$13,Paramètres!$A$1:$I$89,3,0)*VLOOKUP('Données projet'!$B$13,Paramètres!$A$1:$I$89,5,0)</f>
        <v>253.79640000000001</v>
      </c>
      <c r="CV85" s="13">
        <f t="shared" si="95"/>
        <v>61.39816832228076</v>
      </c>
      <c r="CW85" s="20">
        <f t="shared" si="67"/>
        <v>548.96387316130563</v>
      </c>
      <c r="CX85" s="59">
        <f t="shared" si="68"/>
        <v>842.29720649463889</v>
      </c>
      <c r="CY85" s="59">
        <f ca="1">AVERAGE(OFFSET($CX$3,0,0,'Données projet'!$E$13+1,1))-AVERAGE(OFFSET($H$3,0,0,'Données projet'!$E$13+1,1))</f>
        <v>279.49721661620544</v>
      </c>
      <c r="CZ85" s="59">
        <f t="shared" si="96"/>
        <v>275.18739333988754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51.103488908810021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51.103488908810021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5.8</v>
      </c>
      <c r="DO85" s="12">
        <f>IF('Données projet'!$A$166&gt;35,DO84+DN85-DW84,IF(A85&lt;'Données projet'!$A$166,$DL$205^A85,IF(A85='Données projet'!$A$166,'Données projet'!$B$166,DO84+DN85-DW84)))</f>
        <v>251.59999999999991</v>
      </c>
      <c r="DP85" s="17">
        <f>DO85*VLOOKUP('Données projet'!$B$14,Paramètres!$A$1:$I$89,3,0)*VLOOKUP('Données projet'!$B$14,Paramètres!$A$1:$I$89,5,0)</f>
        <v>255.12239999999991</v>
      </c>
      <c r="DQ85" s="13">
        <f t="shared" si="97"/>
        <v>61.681527554261443</v>
      </c>
      <c r="DR85" s="20">
        <f t="shared" si="70"/>
        <v>551.7668404903385</v>
      </c>
      <c r="DS85" s="59">
        <f t="shared" si="71"/>
        <v>845.10017382367187</v>
      </c>
      <c r="DT85" s="59">
        <f ca="1">AVERAGE(OFFSET($DS$3,0,0,'Données projet'!$E$14+1,1))-AVERAGE(OFFSET($H$3,0,0,'Données projet'!$E$14+1,1))</f>
        <v>308.80022073574963</v>
      </c>
      <c r="DU85" s="59">
        <f t="shared" si="98"/>
        <v>183.96267407004115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64.859661219496203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64.859661219496203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266.99999999999983</v>
      </c>
      <c r="EK85" s="17">
        <f>EJ85*VLOOKUP('Données projet'!$B$15,Paramètres!$A$1:$I$89,3,0)*VLOOKUP('Données projet'!$B$15,Paramètres!$A$1:$I$89,5,0)</f>
        <v>174.93839999999989</v>
      </c>
      <c r="EL85" s="13">
        <f t="shared" si="99"/>
        <v>44.194210865203175</v>
      </c>
      <c r="EM85" s="20">
        <f t="shared" si="73"/>
        <v>381.65596392356196</v>
      </c>
      <c r="EN85" s="59">
        <f t="shared" si="74"/>
        <v>674.98929725689527</v>
      </c>
      <c r="EO85" s="59">
        <f ca="1">AVERAGE(OFFSET($EN$3,0,0,'Données projet'!$E$15+1,1))-AVERAGE(OFFSET($H$3,0,0,'Données projet'!$E$15+1,1))</f>
        <v>178.71569711875242</v>
      </c>
      <c r="EP85" s="59">
        <f t="shared" si="100"/>
        <v>178.13848582064168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27.862967917639494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27.862967917639494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5.8</v>
      </c>
      <c r="FE85" s="12">
        <f>IF('Données projet'!$A$218&gt;35,FE84+FD85-FM84,IF(A85&lt;'Données projet'!$A$218,$FB$205^A85,IF(A85='Données projet'!$A$218,'Données projet'!$B$218,FE84+FD85-FM84)))</f>
        <v>251.59999999999991</v>
      </c>
      <c r="FF85" s="17">
        <f>FE85*VLOOKUP('Données projet'!$B$16,Paramètres!$A$1:$I$89,3,0)*VLOOKUP('Données projet'!$B$16,Paramètres!$A$1:$I$89,5,0)</f>
        <v>211.94783999999993</v>
      </c>
      <c r="FG85" s="13">
        <f t="shared" si="101"/>
        <v>52.361008754780862</v>
      </c>
      <c r="FH85" s="20">
        <f t="shared" si="76"/>
        <v>460.33791158124319</v>
      </c>
      <c r="FI85" s="59">
        <f t="shared" si="77"/>
        <v>753.6712449145765</v>
      </c>
      <c r="FJ85" s="59">
        <f ca="1">AVERAGE(OFFSET($FI$3,0,0,'Données projet'!$E$16+1,1))-AVERAGE(OFFSET($H$3,0,0,'Données projet'!$E$16+1,1))</f>
        <v>247.22536892257716</v>
      </c>
      <c r="FK85" s="59">
        <f t="shared" si="102"/>
        <v>147.97952262756075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53.883410859273773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53.883410859273773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6">
        <f t="shared" si="56"/>
        <v>383.7279856154509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249.0000000000002</v>
      </c>
      <c r="O86" s="13">
        <f>N86*VLOOKUP('Données projet'!$B$9,Paramètres!$A$1:$I$89,3,0)*VLOOKUP('Données projet'!$B$9,Paramètres!$A$1:$I$89,5,0)</f>
        <v>217.52640000000019</v>
      </c>
      <c r="P86" s="13">
        <f t="shared" si="87"/>
        <v>53.576907690651304</v>
      </c>
      <c r="Q86" s="20">
        <f t="shared" si="54"/>
        <v>472.17159422788467</v>
      </c>
      <c r="R86" s="59">
        <f t="shared" si="55"/>
        <v>765.50492756121798</v>
      </c>
      <c r="S86" s="59">
        <f ca="1">AVERAGE(OFFSET($R$3,0,0,'Données projet'!$E$9+1,1))-AVERAGE(OFFSET($H$3,0,0,'Données projet'!$E$9+1,1))</f>
        <v>253.73326067725128</v>
      </c>
      <c r="T86" s="59">
        <f t="shared" si="88"/>
        <v>317.76427047458026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48.275442534866208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48.275442534866208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732.99999999999966</v>
      </c>
      <c r="AJ86" s="13">
        <f>AI86*VLOOKUP('Données projet'!$B$10,Paramètres!$A$1:$I$89,3,0)*VLOOKUP('Données projet'!$B$10,Paramètres!$A$1:$I$89,5,0)</f>
        <v>352.57299999999987</v>
      </c>
      <c r="AK86" s="13">
        <f t="shared" si="89"/>
        <v>82.092092597941644</v>
      </c>
      <c r="AL86" s="20">
        <f t="shared" si="58"/>
        <v>757.04170294141477</v>
      </c>
      <c r="AM86" s="59">
        <f t="shared" si="59"/>
        <v>1050.375036274748</v>
      </c>
      <c r="AN86" s="59">
        <f ca="1">AVERAGE(OFFSET($AM$3,0,0,'Données projet'!$E$10+1,1))-AVERAGE(OFFSET($H$3,0,0,'Données projet'!$E$10+1,1))</f>
        <v>349.65790906807746</v>
      </c>
      <c r="AO86" s="59">
        <f t="shared" si="90"/>
        <v>291.88925884278888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119.21151195329395</v>
      </c>
      <c r="AV86" s="21">
        <f>EXP(-LN(2)/25)*AV85+(1-EXP(-LN(2)/25))/(LN(2)/25)*Calculateur!AQ86*Calculateur!AS86*VLOOKUP('Données projet'!$B$10,Paramètres!$A$1:$I$89,3,0)*0.475*44/12</f>
        <v>9.47652636078592</v>
      </c>
      <c r="AW86" s="21">
        <f>EXP(-LN(2)/2)*AW85+(1-EXP(-LN(2)/2))/(LN(2)/2)*AQ86*AT86*VLOOKUP('Données projet'!$B$10,Paramètres!$A$1:$I$89,3,0)*0.475*44/12</f>
        <v>5.379686981755767E-10</v>
      </c>
      <c r="AX86" s="21">
        <f t="shared" si="60"/>
        <v>128.68803831461784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319</v>
      </c>
      <c r="BE86" s="13">
        <f>BD86*VLOOKUP('Données projet'!$B$11,Paramètres!$A$1:$I$89,3,0)*VLOOKUP('Données projet'!$B$11,Paramètres!$A$1:$I$89,5,0)</f>
        <v>253.79640000000001</v>
      </c>
      <c r="BF86" s="13">
        <f t="shared" si="91"/>
        <v>61.39816832228076</v>
      </c>
      <c r="BG86" s="20">
        <f t="shared" si="61"/>
        <v>548.96387316130563</v>
      </c>
      <c r="BH86" s="59">
        <f t="shared" si="62"/>
        <v>842.29720649463889</v>
      </c>
      <c r="BI86" s="59">
        <f ca="1">AVERAGE(OFFSET($BH$3,0,0,'Données projet'!$E$11+1,1))-AVERAGE(OFFSET($H$3,0,0,'Données projet'!$E$11+1,1))</f>
        <v>279.49721661620544</v>
      </c>
      <c r="BJ86" s="59">
        <f t="shared" si="92"/>
        <v>275.18739333988754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50.101380661358704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50.101380661358704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266.99999999999983</v>
      </c>
      <c r="BZ86" s="13">
        <f>BY86*VLOOKUP('Données projet'!$B$12,Paramètres!$A$1:$I$89,3,0)*VLOOKUP('Données projet'!$B$12,Paramètres!$A$1:$I$89,5,0)</f>
        <v>258.24239999999986</v>
      </c>
      <c r="CA86" s="13">
        <f t="shared" si="93"/>
        <v>62.347580891234152</v>
      </c>
      <c r="CB86" s="20">
        <f t="shared" si="64"/>
        <v>558.3608833855659</v>
      </c>
      <c r="CC86" s="59">
        <f t="shared" si="65"/>
        <v>851.69421671889927</v>
      </c>
      <c r="CD86" s="59">
        <f ca="1">AVERAGE(OFFSET($CC$3,0,0,'Données projet'!$E$12+1,1))-AVERAGE(OFFSET($H$3,0,0,'Données projet'!$E$12+1,1))</f>
        <v>281.84871057356037</v>
      </c>
      <c r="CE86" s="59">
        <f t="shared" si="94"/>
        <v>276.02211904126887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40.32449311698641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40.32449311698641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319</v>
      </c>
      <c r="CU86" s="17">
        <f>CT86*VLOOKUP('Données projet'!$B$13,Paramètres!$A$1:$I$89,3,0)*VLOOKUP('Données projet'!$B$13,Paramètres!$A$1:$I$89,5,0)</f>
        <v>253.79640000000001</v>
      </c>
      <c r="CV86" s="13">
        <f t="shared" si="95"/>
        <v>61.39816832228076</v>
      </c>
      <c r="CW86" s="20">
        <f t="shared" si="67"/>
        <v>548.96387316130563</v>
      </c>
      <c r="CX86" s="59">
        <f t="shared" si="68"/>
        <v>842.29720649463889</v>
      </c>
      <c r="CY86" s="59">
        <f ca="1">AVERAGE(OFFSET($CX$3,0,0,'Données projet'!$E$13+1,1))-AVERAGE(OFFSET($H$3,0,0,'Données projet'!$E$13+1,1))</f>
        <v>279.49721661620544</v>
      </c>
      <c r="CZ86" s="59">
        <f t="shared" si="96"/>
        <v>275.18739333988754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50.101380661358704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50.101380661358704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5.8</v>
      </c>
      <c r="DO86" s="12">
        <f>IF('Données projet'!$A$166&gt;35,DO85+DN86-DW85,IF(A86&lt;'Données projet'!$A$166,$DL$205^A86,IF(A86='Données projet'!$A$166,'Données projet'!$B$166,DO85+DN86-DW85)))</f>
        <v>257.39999999999992</v>
      </c>
      <c r="DP86" s="17">
        <f>DO86*VLOOKUP('Données projet'!$B$14,Paramètres!$A$1:$I$89,3,0)*VLOOKUP('Données projet'!$B$14,Paramètres!$A$1:$I$89,5,0)</f>
        <v>261.00359999999995</v>
      </c>
      <c r="DQ86" s="13">
        <f t="shared" si="97"/>
        <v>62.936256929541173</v>
      </c>
      <c r="DR86" s="20">
        <f t="shared" si="70"/>
        <v>564.19525081895074</v>
      </c>
      <c r="DS86" s="59">
        <f t="shared" si="71"/>
        <v>857.52858415228411</v>
      </c>
      <c r="DT86" s="59">
        <f ca="1">AVERAGE(OFFSET($DS$3,0,0,'Données projet'!$E$14+1,1))-AVERAGE(OFFSET($H$3,0,0,'Données projet'!$E$14+1,1))</f>
        <v>308.80022073574963</v>
      </c>
      <c r="DU86" s="59">
        <f t="shared" si="98"/>
        <v>183.96267407004115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63.587802823468955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63.587802823468955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266.99999999999983</v>
      </c>
      <c r="EK86" s="17">
        <f>EJ86*VLOOKUP('Données projet'!$B$15,Paramètres!$A$1:$I$89,3,0)*VLOOKUP('Données projet'!$B$15,Paramètres!$A$1:$I$89,5,0)</f>
        <v>174.93839999999989</v>
      </c>
      <c r="EL86" s="13">
        <f t="shared" si="99"/>
        <v>44.194210865203175</v>
      </c>
      <c r="EM86" s="20">
        <f t="shared" si="73"/>
        <v>381.65596392356196</v>
      </c>
      <c r="EN86" s="59">
        <f t="shared" si="74"/>
        <v>674.98929725689527</v>
      </c>
      <c r="EO86" s="59">
        <f ca="1">AVERAGE(OFFSET($EN$3,0,0,'Données projet'!$E$15+1,1))-AVERAGE(OFFSET($H$3,0,0,'Données projet'!$E$15+1,1))</f>
        <v>178.71569711875242</v>
      </c>
      <c r="EP86" s="59">
        <f t="shared" si="100"/>
        <v>178.13848582064168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27.316592111506925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27.316592111506925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5.8</v>
      </c>
      <c r="FE86" s="12">
        <f>IF('Données projet'!$A$218&gt;35,FE85+FD86-FM85,IF(A86&lt;'Données projet'!$A$218,$FB$205^A86,IF(A86='Données projet'!$A$218,'Données projet'!$B$218,FE85+FD86-FM85)))</f>
        <v>257.39999999999992</v>
      </c>
      <c r="FF86" s="17">
        <f>FE86*VLOOKUP('Données projet'!$B$16,Paramètres!$A$1:$I$89,3,0)*VLOOKUP('Données projet'!$B$16,Paramètres!$A$1:$I$89,5,0)</f>
        <v>216.83375999999993</v>
      </c>
      <c r="FG86" s="13">
        <f t="shared" si="101"/>
        <v>53.426139571233229</v>
      </c>
      <c r="FH86" s="20">
        <f t="shared" si="76"/>
        <v>470.70265841989777</v>
      </c>
      <c r="FI86" s="59">
        <f t="shared" si="77"/>
        <v>764.03599175323109</v>
      </c>
      <c r="FJ86" s="59">
        <f ca="1">AVERAGE(OFFSET($FI$3,0,0,'Données projet'!$E$16+1,1))-AVERAGE(OFFSET($H$3,0,0,'Données projet'!$E$16+1,1))</f>
        <v>247.22536892257716</v>
      </c>
      <c r="FK86" s="59">
        <f t="shared" si="102"/>
        <v>147.97952262756075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52.82679003795883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52.82679003795883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6">
        <f t="shared" si="56"/>
        <v>384.78766557089091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249.0000000000002</v>
      </c>
      <c r="O87" s="13">
        <f>N87*VLOOKUP('Données projet'!$B$9,Paramètres!$A$1:$I$89,3,0)*VLOOKUP('Données projet'!$B$9,Paramètres!$A$1:$I$89,5,0)</f>
        <v>217.52640000000019</v>
      </c>
      <c r="P87" s="13">
        <f t="shared" si="87"/>
        <v>53.576907690651304</v>
      </c>
      <c r="Q87" s="20">
        <f t="shared" si="54"/>
        <v>472.17159422788467</v>
      </c>
      <c r="R87" s="59">
        <f t="shared" si="55"/>
        <v>765.50492756121798</v>
      </c>
      <c r="S87" s="59">
        <f ca="1">AVERAGE(OFFSET($R$3,0,0,'Données projet'!$E$9+1,1))-AVERAGE(OFFSET($H$3,0,0,'Données projet'!$E$9+1,1))</f>
        <v>253.73326067725128</v>
      </c>
      <c r="T87" s="59">
        <f t="shared" si="88"/>
        <v>317.76427047458026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47.328790551869965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47.328790551869965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732.99999999999966</v>
      </c>
      <c r="AJ87" s="13">
        <f>AI87*VLOOKUP('Données projet'!$B$10,Paramètres!$A$1:$I$89,3,0)*VLOOKUP('Données projet'!$B$10,Paramètres!$A$1:$I$89,5,0)</f>
        <v>352.57299999999987</v>
      </c>
      <c r="AK87" s="13">
        <f t="shared" si="89"/>
        <v>82.092092597941644</v>
      </c>
      <c r="AL87" s="20">
        <f t="shared" si="58"/>
        <v>757.04170294141477</v>
      </c>
      <c r="AM87" s="59">
        <f t="shared" si="59"/>
        <v>1050.375036274748</v>
      </c>
      <c r="AN87" s="59">
        <f ca="1">AVERAGE(OFFSET($AM$3,0,0,'Données projet'!$E$10+1,1))-AVERAGE(OFFSET($H$3,0,0,'Données projet'!$E$10+1,1))</f>
        <v>349.65790906807746</v>
      </c>
      <c r="AO87" s="59">
        <f t="shared" si="90"/>
        <v>291.88925884278888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116.87384691573244</v>
      </c>
      <c r="AV87" s="21">
        <f>EXP(-LN(2)/25)*AV86+(1-EXP(-LN(2)/25))/(LN(2)/25)*Calculateur!AQ87*Calculateur!AS87*VLOOKUP('Données projet'!$B$10,Paramètres!$A$1:$I$89,3,0)*0.475*44/12</f>
        <v>9.2173902491013671</v>
      </c>
      <c r="AW87" s="21">
        <f>EXP(-LN(2)/2)*AW86+(1-EXP(-LN(2)/2))/(LN(2)/2)*AQ87*AT87*VLOOKUP('Données projet'!$B$10,Paramètres!$A$1:$I$89,3,0)*0.475*44/12</f>
        <v>3.8040131454604934E-10</v>
      </c>
      <c r="AX87" s="21">
        <f t="shared" si="60"/>
        <v>126.09123716521421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319</v>
      </c>
      <c r="BE87" s="13">
        <f>BD87*VLOOKUP('Données projet'!$B$11,Paramètres!$A$1:$I$89,3,0)*VLOOKUP('Données projet'!$B$11,Paramètres!$A$1:$I$89,5,0)</f>
        <v>253.79640000000001</v>
      </c>
      <c r="BF87" s="13">
        <f t="shared" si="91"/>
        <v>61.39816832228076</v>
      </c>
      <c r="BG87" s="20">
        <f t="shared" si="61"/>
        <v>548.96387316130563</v>
      </c>
      <c r="BH87" s="59">
        <f t="shared" si="62"/>
        <v>842.29720649463889</v>
      </c>
      <c r="BI87" s="59">
        <f ca="1">AVERAGE(OFFSET($BH$3,0,0,'Données projet'!$E$11+1,1))-AVERAGE(OFFSET($H$3,0,0,'Données projet'!$E$11+1,1))</f>
        <v>279.49721661620544</v>
      </c>
      <c r="BJ87" s="59">
        <f t="shared" si="92"/>
        <v>275.18739333988754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49.118923145414229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49.118923145414229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266.99999999999983</v>
      </c>
      <c r="BZ87" s="13">
        <f>BY87*VLOOKUP('Données projet'!$B$12,Paramètres!$A$1:$I$89,3,0)*VLOOKUP('Données projet'!$B$12,Paramètres!$A$1:$I$89,5,0)</f>
        <v>258.24239999999986</v>
      </c>
      <c r="CA87" s="13">
        <f t="shared" si="93"/>
        <v>62.347580891234152</v>
      </c>
      <c r="CB87" s="20">
        <f t="shared" si="64"/>
        <v>558.3608833855659</v>
      </c>
      <c r="CC87" s="59">
        <f t="shared" si="65"/>
        <v>851.69421671889927</v>
      </c>
      <c r="CD87" s="59">
        <f ca="1">AVERAGE(OFFSET($CC$3,0,0,'Données projet'!$E$12+1,1))-AVERAGE(OFFSET($H$3,0,0,'Données projet'!$E$12+1,1))</f>
        <v>281.84871057356037</v>
      </c>
      <c r="CE87" s="59">
        <f t="shared" si="94"/>
        <v>276.02211904126887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39.5337544024745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39.5337544024745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319</v>
      </c>
      <c r="CU87" s="17">
        <f>CT87*VLOOKUP('Données projet'!$B$13,Paramètres!$A$1:$I$89,3,0)*VLOOKUP('Données projet'!$B$13,Paramètres!$A$1:$I$89,5,0)</f>
        <v>253.79640000000001</v>
      </c>
      <c r="CV87" s="13">
        <f t="shared" si="95"/>
        <v>61.39816832228076</v>
      </c>
      <c r="CW87" s="20">
        <f t="shared" si="67"/>
        <v>548.96387316130563</v>
      </c>
      <c r="CX87" s="59">
        <f t="shared" si="68"/>
        <v>842.29720649463889</v>
      </c>
      <c r="CY87" s="59">
        <f ca="1">AVERAGE(OFFSET($CX$3,0,0,'Données projet'!$E$13+1,1))-AVERAGE(OFFSET($H$3,0,0,'Données projet'!$E$13+1,1))</f>
        <v>279.49721661620544</v>
      </c>
      <c r="CZ87" s="59">
        <f t="shared" si="96"/>
        <v>275.18739333988754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49.118923145414229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49.118923145414229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5.8</v>
      </c>
      <c r="DO87" s="12">
        <f>IF('Données projet'!$A$166&gt;35,DO86+DN87-DW86,IF(A87&lt;'Données projet'!$A$166,$DL$205^A87,IF(A87='Données projet'!$A$166,'Données projet'!$B$166,DO86+DN87-DW86)))</f>
        <v>263.19999999999993</v>
      </c>
      <c r="DP87" s="17">
        <f>DO87*VLOOKUP('Données projet'!$B$14,Paramètres!$A$1:$I$89,3,0)*VLOOKUP('Données projet'!$B$14,Paramètres!$A$1:$I$89,5,0)</f>
        <v>266.88479999999993</v>
      </c>
      <c r="DQ87" s="13">
        <f t="shared" si="97"/>
        <v>64.18769936370569</v>
      </c>
      <c r="DR87" s="20">
        <f t="shared" si="70"/>
        <v>576.61793639178723</v>
      </c>
      <c r="DS87" s="59">
        <f t="shared" si="71"/>
        <v>869.95126972512048</v>
      </c>
      <c r="DT87" s="59">
        <f ca="1">AVERAGE(OFFSET($DS$3,0,0,'Données projet'!$E$14+1,1))-AVERAGE(OFFSET($H$3,0,0,'Données projet'!$E$14+1,1))</f>
        <v>308.80022073574963</v>
      </c>
      <c r="DU87" s="59">
        <f t="shared" si="98"/>
        <v>183.96267407004115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62.340884794830778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62.340884794830778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266.99999999999983</v>
      </c>
      <c r="EK87" s="17">
        <f>EJ87*VLOOKUP('Données projet'!$B$15,Paramètres!$A$1:$I$89,3,0)*VLOOKUP('Données projet'!$B$15,Paramètres!$A$1:$I$89,5,0)</f>
        <v>174.93839999999989</v>
      </c>
      <c r="EL87" s="13">
        <f t="shared" si="99"/>
        <v>44.194210865203175</v>
      </c>
      <c r="EM87" s="20">
        <f t="shared" si="73"/>
        <v>381.65596392356196</v>
      </c>
      <c r="EN87" s="59">
        <f t="shared" si="74"/>
        <v>674.98929725689527</v>
      </c>
      <c r="EO87" s="59">
        <f ca="1">AVERAGE(OFFSET($EN$3,0,0,'Données projet'!$E$15+1,1))-AVERAGE(OFFSET($H$3,0,0,'Données projet'!$E$15+1,1))</f>
        <v>178.71569711875242</v>
      </c>
      <c r="EP87" s="59">
        <f t="shared" si="100"/>
        <v>178.13848582064168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26.780930401676276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26.780930401676276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5.8</v>
      </c>
      <c r="FE87" s="12">
        <f>IF('Données projet'!$A$218&gt;35,FE86+FD87-FM86,IF(A87&lt;'Données projet'!$A$218,$FB$205^A87,IF(A87='Données projet'!$A$218,'Données projet'!$B$218,FE86+FD87-FM86)))</f>
        <v>263.19999999999993</v>
      </c>
      <c r="FF87" s="17">
        <f>FE87*VLOOKUP('Données projet'!$B$16,Paramètres!$A$1:$I$89,3,0)*VLOOKUP('Données projet'!$B$16,Paramètres!$A$1:$I$89,5,0)</f>
        <v>221.71967999999998</v>
      </c>
      <c r="FG87" s="13">
        <f t="shared" si="101"/>
        <v>54.488480126819368</v>
      </c>
      <c r="FH87" s="20">
        <f t="shared" si="76"/>
        <v>481.06254555421032</v>
      </c>
      <c r="FI87" s="59">
        <f t="shared" si="77"/>
        <v>774.39587888754363</v>
      </c>
      <c r="FJ87" s="59">
        <f ca="1">AVERAGE(OFFSET($FI$3,0,0,'Données projet'!$E$16+1,1))-AVERAGE(OFFSET($H$3,0,0,'Données projet'!$E$16+1,1))</f>
        <v>247.22536892257716</v>
      </c>
      <c r="FK87" s="59">
        <f t="shared" si="102"/>
        <v>147.97952262756075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51.790888906474805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51.790888906474805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6">
        <f t="shared" si="56"/>
        <v>385.84703818858173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249.0000000000002</v>
      </c>
      <c r="O88" s="13">
        <f>N88*VLOOKUP('Données projet'!$B$9,Paramètres!$A$1:$I$89,3,0)*VLOOKUP('Données projet'!$B$9,Paramètres!$A$1:$I$89,5,0)</f>
        <v>217.52640000000019</v>
      </c>
      <c r="P88" s="13">
        <f t="shared" si="87"/>
        <v>53.576907690651304</v>
      </c>
      <c r="Q88" s="20">
        <f t="shared" si="54"/>
        <v>472.17159422788467</v>
      </c>
      <c r="R88" s="59">
        <f t="shared" si="55"/>
        <v>765.50492756121798</v>
      </c>
      <c r="S88" s="59">
        <f ca="1">AVERAGE(OFFSET($R$3,0,0,'Données projet'!$E$9+1,1))-AVERAGE(OFFSET($H$3,0,0,'Données projet'!$E$9+1,1))</f>
        <v>253.73326067725128</v>
      </c>
      <c r="T88" s="59">
        <f t="shared" si="88"/>
        <v>317.76427047458026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46.400701836859582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46.400701836859582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732.99999999999966</v>
      </c>
      <c r="AJ88" s="13">
        <f>AI88*VLOOKUP('Données projet'!$B$10,Paramètres!$A$1:$I$89,3,0)*VLOOKUP('Données projet'!$B$10,Paramètres!$A$1:$I$89,5,0)</f>
        <v>352.57299999999987</v>
      </c>
      <c r="AK88" s="13">
        <f t="shared" si="89"/>
        <v>82.092092597941644</v>
      </c>
      <c r="AL88" s="20">
        <f t="shared" si="58"/>
        <v>757.04170294141477</v>
      </c>
      <c r="AM88" s="59">
        <f t="shared" si="59"/>
        <v>1050.375036274748</v>
      </c>
      <c r="AN88" s="59">
        <f ca="1">AVERAGE(OFFSET($AM$3,0,0,'Données projet'!$E$10+1,1))-AVERAGE(OFFSET($H$3,0,0,'Données projet'!$E$10+1,1))</f>
        <v>349.65790906807746</v>
      </c>
      <c r="AO88" s="59">
        <f t="shared" si="90"/>
        <v>291.88925884278888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114.58202206372265</v>
      </c>
      <c r="AV88" s="21">
        <f>EXP(-LN(2)/25)*AV87+(1-EXP(-LN(2)/25))/(LN(2)/25)*Calculateur!AQ88*Calculateur!AS88*VLOOKUP('Données projet'!$B$10,Paramètres!$A$1:$I$89,3,0)*0.475*44/12</f>
        <v>8.9653402280182029</v>
      </c>
      <c r="AW88" s="21">
        <f>EXP(-LN(2)/2)*AW87+(1-EXP(-LN(2)/2))/(LN(2)/2)*AQ88*AT88*VLOOKUP('Données projet'!$B$10,Paramètres!$A$1:$I$89,3,0)*0.475*44/12</f>
        <v>2.6898434908778835E-10</v>
      </c>
      <c r="AX88" s="21">
        <f t="shared" si="60"/>
        <v>123.54736229200984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319</v>
      </c>
      <c r="BE88" s="13">
        <f>BD88*VLOOKUP('Données projet'!$B$11,Paramètres!$A$1:$I$89,3,0)*VLOOKUP('Données projet'!$B$11,Paramètres!$A$1:$I$89,5,0)</f>
        <v>253.79640000000001</v>
      </c>
      <c r="BF88" s="13">
        <f t="shared" si="91"/>
        <v>61.39816832228076</v>
      </c>
      <c r="BG88" s="20">
        <f t="shared" si="61"/>
        <v>548.96387316130563</v>
      </c>
      <c r="BH88" s="59">
        <f t="shared" si="62"/>
        <v>842.29720649463889</v>
      </c>
      <c r="BI88" s="59">
        <f ca="1">AVERAGE(OFFSET($BH$3,0,0,'Données projet'!$E$11+1,1))-AVERAGE(OFFSET($H$3,0,0,'Données projet'!$E$11+1,1))</f>
        <v>279.49721661620544</v>
      </c>
      <c r="BJ88" s="59">
        <f t="shared" si="92"/>
        <v>275.18739333988754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48.155731022117514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48.155731022117514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266.99999999999983</v>
      </c>
      <c r="BZ88" s="13">
        <f>BY88*VLOOKUP('Données projet'!$B$12,Paramètres!$A$1:$I$89,3,0)*VLOOKUP('Données projet'!$B$12,Paramètres!$A$1:$I$89,5,0)</f>
        <v>258.24239999999986</v>
      </c>
      <c r="CA88" s="13">
        <f t="shared" si="93"/>
        <v>62.347580891234152</v>
      </c>
      <c r="CB88" s="20">
        <f t="shared" si="64"/>
        <v>558.3608833855659</v>
      </c>
      <c r="CC88" s="59">
        <f t="shared" si="65"/>
        <v>851.69421671889927</v>
      </c>
      <c r="CD88" s="59">
        <f ca="1">AVERAGE(OFFSET($CC$3,0,0,'Données projet'!$E$12+1,1))-AVERAGE(OFFSET($H$3,0,0,'Données projet'!$E$12+1,1))</f>
        <v>281.84871057356037</v>
      </c>
      <c r="CE88" s="59">
        <f t="shared" si="94"/>
        <v>276.02211904126887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38.758521591851178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38.758521591851178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319</v>
      </c>
      <c r="CU88" s="17">
        <f>CT88*VLOOKUP('Données projet'!$B$13,Paramètres!$A$1:$I$89,3,0)*VLOOKUP('Données projet'!$B$13,Paramètres!$A$1:$I$89,5,0)</f>
        <v>253.79640000000001</v>
      </c>
      <c r="CV88" s="13">
        <f t="shared" si="95"/>
        <v>61.39816832228076</v>
      </c>
      <c r="CW88" s="20">
        <f t="shared" si="67"/>
        <v>548.96387316130563</v>
      </c>
      <c r="CX88" s="59">
        <f t="shared" si="68"/>
        <v>842.29720649463889</v>
      </c>
      <c r="CY88" s="59">
        <f ca="1">AVERAGE(OFFSET($CX$3,0,0,'Données projet'!$E$13+1,1))-AVERAGE(OFFSET($H$3,0,0,'Données projet'!$E$13+1,1))</f>
        <v>279.49721661620544</v>
      </c>
      <c r="CZ88" s="59">
        <f t="shared" si="96"/>
        <v>275.18739333988754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48.155731022117514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48.155731022117514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269</v>
      </c>
      <c r="DM88" s="12">
        <f>VLOOKUP(A88,'Données projet'!$A$165:$I$185,9,0)</f>
        <v>5.8</v>
      </c>
      <c r="DN88" s="12">
        <f t="array" ref="DN88">INDEX(DM:DM,MIN(IF(ISNUMBER(DM88:DM284),ROW(DM88:DM284),"")))</f>
        <v>5.8</v>
      </c>
      <c r="DO88" s="12">
        <f>IF('Données projet'!$A$166&gt;35,DO87+DN88-DW87,IF(A88&lt;'Données projet'!$A$166,$DL$205^A88,IF(A88='Données projet'!$A$166,'Données projet'!$B$166,DO87+DN88-DW87)))</f>
        <v>268.99999999999994</v>
      </c>
      <c r="DP88" s="17">
        <f>DO88*VLOOKUP('Données projet'!$B$14,Paramètres!$A$1:$I$89,3,0)*VLOOKUP('Données projet'!$B$14,Paramètres!$A$1:$I$89,5,0)</f>
        <v>272.76599999999996</v>
      </c>
      <c r="DQ88" s="13">
        <f t="shared" si="97"/>
        <v>65.43593563008757</v>
      </c>
      <c r="DR88" s="20">
        <f t="shared" si="70"/>
        <v>589.03503788906914</v>
      </c>
      <c r="DS88" s="59">
        <f t="shared" si="71"/>
        <v>882.3683712224024</v>
      </c>
      <c r="DT88" s="59">
        <f ca="1">AVERAGE(OFFSET($DS$3,0,0,'Données projet'!$E$14+1,1))-AVERAGE(OFFSET($H$3,0,0,'Données projet'!$E$14+1,1))</f>
        <v>308.80022073574963</v>
      </c>
      <c r="DU88" s="59">
        <f t="shared" si="98"/>
        <v>183.96267407004115</v>
      </c>
      <c r="DV88" s="15">
        <f>IF(ISNA(VLOOKUP(A88,'Données projet'!$A$165:$I$185,3,0)),0,VLOOKUP(A88,'Données projet'!$A$165:$I$185,3,0))</f>
        <v>13</v>
      </c>
      <c r="DW88" s="15">
        <f>IF(ISNA(VLOOKUP(A88,'Données projet'!$A$165:$I$185,4,0)),0,VLOOKUP(A88,'Données projet'!$A$165:$I$185,4,0))</f>
        <v>21</v>
      </c>
      <c r="DX88" s="16">
        <f>IF(ISNA(VLOOKUP(A88,'Données projet'!$A$165:$I$185,5,0)),0%,VLOOKUP(A88,'Données projet'!$A$165:$I$185,5,0)*VLOOKUP('Données projet'!$B$14,Paramètres!$A$1:$I$89,7,0))</f>
        <v>0.43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71.240569160752386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71.240569160752386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266.99999999999983</v>
      </c>
      <c r="EK88" s="17">
        <f>EJ88*VLOOKUP('Données projet'!$B$15,Paramètres!$A$1:$I$89,3,0)*VLOOKUP('Données projet'!$B$15,Paramètres!$A$1:$I$89,5,0)</f>
        <v>174.93839999999989</v>
      </c>
      <c r="EL88" s="13">
        <f t="shared" si="99"/>
        <v>44.194210865203175</v>
      </c>
      <c r="EM88" s="20">
        <f t="shared" si="73"/>
        <v>381.65596392356196</v>
      </c>
      <c r="EN88" s="59">
        <f t="shared" si="74"/>
        <v>674.98929725689527</v>
      </c>
      <c r="EO88" s="59">
        <f ca="1">AVERAGE(OFFSET($EN$3,0,0,'Données projet'!$E$15+1,1))-AVERAGE(OFFSET($H$3,0,0,'Données projet'!$E$15+1,1))</f>
        <v>178.71569711875242</v>
      </c>
      <c r="EP88" s="59">
        <f t="shared" si="100"/>
        <v>178.13848582064168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26.255772691254027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26.255772691254027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>
        <f>VLOOKUP(A88,'Données projet'!$A$217:$I$237,2,0)</f>
        <v>269</v>
      </c>
      <c r="FC88" s="12">
        <f>VLOOKUP(A88,'Données projet'!$A$217:$I$237,9,0)</f>
        <v>5.8</v>
      </c>
      <c r="FD88" s="12">
        <f t="array" ref="FD88">INDEX(FC:FC,MIN(IF(ISNUMBER(FC88:FC284),ROW(FC88:FC284),"")))</f>
        <v>5.8</v>
      </c>
      <c r="FE88" s="12">
        <f>IF('Données projet'!$A$218&gt;35,FE87+FD88-FM87,IF(A88&lt;'Données projet'!$A$218,$FB$205^A88,IF(A88='Données projet'!$A$218,'Données projet'!$B$218,FE87+FD88-FM87)))</f>
        <v>268.99999999999994</v>
      </c>
      <c r="FF88" s="17">
        <f>FE88*VLOOKUP('Données projet'!$B$16,Paramètres!$A$1:$I$89,3,0)*VLOOKUP('Données projet'!$B$16,Paramètres!$A$1:$I$89,5,0)</f>
        <v>226.60559999999998</v>
      </c>
      <c r="FG88" s="13">
        <f t="shared" si="101"/>
        <v>55.548098989444924</v>
      </c>
      <c r="FH88" s="20">
        <f t="shared" si="76"/>
        <v>491.41769240661648</v>
      </c>
      <c r="FI88" s="59">
        <f t="shared" si="77"/>
        <v>784.7510257399498</v>
      </c>
      <c r="FJ88" s="59">
        <f ca="1">AVERAGE(OFFSET($FI$3,0,0,'Données projet'!$E$16+1,1))-AVERAGE(OFFSET($H$3,0,0,'Données projet'!$E$16+1,1))</f>
        <v>247.22536892257716</v>
      </c>
      <c r="FK88" s="59">
        <f t="shared" si="102"/>
        <v>147.97952262756075</v>
      </c>
      <c r="FL88" s="15">
        <f>IF(ISNA(VLOOKUP(A88,'Données projet'!$A$217:$I$237,3,0)),0,VLOOKUP(A88,'Données projet'!$A$217:$I$237,3,0))</f>
        <v>13</v>
      </c>
      <c r="FM88" s="15">
        <f>IF(ISNA(VLOOKUP(A88,'Données projet'!$A$217:$I$237,4,0)),0,VLOOKUP(A88,'Données projet'!$A$217:$I$237,4,0))</f>
        <v>21</v>
      </c>
      <c r="FN88" s="16">
        <f>IF(ISNA(VLOOKUP(A88,'Données projet'!$A$217:$I$237,5,0)),0%,VLOOKUP(A88,'Données projet'!$A$217:$I$237,5,0)*VLOOKUP('Données projet'!$B$16,Paramètres!$A$1:$I$89,7,0))</f>
        <v>0.43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59.184472841240449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59.184472841240449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6">
        <f t="shared" si="56"/>
        <v>386.90610750255792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249.0000000000002</v>
      </c>
      <c r="O89" s="13">
        <f>N89*VLOOKUP('Données projet'!$B$9,Paramètres!$A$1:$I$89,3,0)*VLOOKUP('Données projet'!$B$9,Paramètres!$A$1:$I$89,5,0)</f>
        <v>217.52640000000019</v>
      </c>
      <c r="P89" s="13">
        <f t="shared" si="87"/>
        <v>53.576907690651304</v>
      </c>
      <c r="Q89" s="20">
        <f t="shared" si="54"/>
        <v>472.17159422788467</v>
      </c>
      <c r="R89" s="59">
        <f t="shared" si="55"/>
        <v>765.50492756121798</v>
      </c>
      <c r="S89" s="59">
        <f ca="1">AVERAGE(OFFSET($R$3,0,0,'Données projet'!$E$9+1,1))-AVERAGE(OFFSET($H$3,0,0,'Données projet'!$E$9+1,1))</f>
        <v>253.73326067725128</v>
      </c>
      <c r="T89" s="59">
        <f t="shared" si="88"/>
        <v>317.76427047458026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45.490812375472331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45.490812375472331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732.99999999999966</v>
      </c>
      <c r="AJ89" s="13">
        <f>AI89*VLOOKUP('Données projet'!$B$10,Paramètres!$A$1:$I$89,3,0)*VLOOKUP('Données projet'!$B$10,Paramètres!$A$1:$I$89,5,0)</f>
        <v>352.57299999999987</v>
      </c>
      <c r="AK89" s="13">
        <f t="shared" si="89"/>
        <v>82.092092597941644</v>
      </c>
      <c r="AL89" s="20">
        <f t="shared" si="58"/>
        <v>757.04170294141477</v>
      </c>
      <c r="AM89" s="59">
        <f t="shared" si="59"/>
        <v>1050.375036274748</v>
      </c>
      <c r="AN89" s="59">
        <f ca="1">AVERAGE(OFFSET($AM$3,0,0,'Données projet'!$E$10+1,1))-AVERAGE(OFFSET($H$3,0,0,'Données projet'!$E$10+1,1))</f>
        <v>349.65790906807746</v>
      </c>
      <c r="AO89" s="59">
        <f t="shared" si="90"/>
        <v>291.88925884278888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112.33513849918562</v>
      </c>
      <c r="AV89" s="21">
        <f>EXP(-LN(2)/25)*AV88+(1-EXP(-LN(2)/25))/(LN(2)/25)*Calculateur!AQ89*Calculateur!AS89*VLOOKUP('Données projet'!$B$10,Paramètres!$A$1:$I$89,3,0)*0.475*44/12</f>
        <v>8.7201825280162932</v>
      </c>
      <c r="AW89" s="21">
        <f>EXP(-LN(2)/2)*AW88+(1-EXP(-LN(2)/2))/(LN(2)/2)*AQ89*AT89*VLOOKUP('Données projet'!$B$10,Paramètres!$A$1:$I$89,3,0)*0.475*44/12</f>
        <v>1.9020065727302467E-10</v>
      </c>
      <c r="AX89" s="21">
        <f t="shared" si="60"/>
        <v>121.05532102739211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319</v>
      </c>
      <c r="BE89" s="13">
        <f>BD89*VLOOKUP('Données projet'!$B$11,Paramètres!$A$1:$I$89,3,0)*VLOOKUP('Données projet'!$B$11,Paramètres!$A$1:$I$89,5,0)</f>
        <v>253.79640000000001</v>
      </c>
      <c r="BF89" s="13">
        <f t="shared" si="91"/>
        <v>61.39816832228076</v>
      </c>
      <c r="BG89" s="20">
        <f t="shared" si="61"/>
        <v>548.96387316130563</v>
      </c>
      <c r="BH89" s="59">
        <f t="shared" si="62"/>
        <v>842.29720649463889</v>
      </c>
      <c r="BI89" s="59">
        <f ca="1">AVERAGE(OFFSET($BH$3,0,0,'Données projet'!$E$11+1,1))-AVERAGE(OFFSET($H$3,0,0,'Données projet'!$E$11+1,1))</f>
        <v>279.49721661620544</v>
      </c>
      <c r="BJ89" s="59">
        <f t="shared" si="92"/>
        <v>275.18739333988754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47.211426508869458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47.211426508869458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266.99999999999983</v>
      </c>
      <c r="BZ89" s="13">
        <f>BY89*VLOOKUP('Données projet'!$B$12,Paramètres!$A$1:$I$89,3,0)*VLOOKUP('Données projet'!$B$12,Paramètres!$A$1:$I$89,5,0)</f>
        <v>258.24239999999986</v>
      </c>
      <c r="CA89" s="13">
        <f t="shared" si="93"/>
        <v>62.347580891234152</v>
      </c>
      <c r="CB89" s="20">
        <f t="shared" si="64"/>
        <v>558.3608833855659</v>
      </c>
      <c r="CC89" s="59">
        <f t="shared" si="65"/>
        <v>851.69421671889927</v>
      </c>
      <c r="CD89" s="59">
        <f ca="1">AVERAGE(OFFSET($CC$3,0,0,'Données projet'!$E$12+1,1))-AVERAGE(OFFSET($H$3,0,0,'Données projet'!$E$12+1,1))</f>
        <v>281.84871057356037</v>
      </c>
      <c r="CE89" s="59">
        <f t="shared" si="94"/>
        <v>276.02211904126887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37.998490623798858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37.998490623798858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319</v>
      </c>
      <c r="CU89" s="17">
        <f>CT89*VLOOKUP('Données projet'!$B$13,Paramètres!$A$1:$I$89,3,0)*VLOOKUP('Données projet'!$B$13,Paramètres!$A$1:$I$89,5,0)</f>
        <v>253.79640000000001</v>
      </c>
      <c r="CV89" s="13">
        <f t="shared" si="95"/>
        <v>61.39816832228076</v>
      </c>
      <c r="CW89" s="20">
        <f t="shared" si="67"/>
        <v>548.96387316130563</v>
      </c>
      <c r="CX89" s="59">
        <f t="shared" si="68"/>
        <v>842.29720649463889</v>
      </c>
      <c r="CY89" s="59">
        <f ca="1">AVERAGE(OFFSET($CX$3,0,0,'Données projet'!$E$13+1,1))-AVERAGE(OFFSET($H$3,0,0,'Données projet'!$E$13+1,1))</f>
        <v>279.49721661620544</v>
      </c>
      <c r="CZ89" s="59">
        <f t="shared" si="96"/>
        <v>275.18739333988754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47.211426508869458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47.211426508869458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5.4</v>
      </c>
      <c r="DO89" s="12">
        <f>IF('Données projet'!$A$166&gt;35,DO88+DN89-DW88,IF(A89&lt;'Données projet'!$A$166,$DL$205^A89,IF(A89='Données projet'!$A$166,'Données projet'!$B$166,DO88+DN89-DW88)))</f>
        <v>253.39999999999992</v>
      </c>
      <c r="DP89" s="17">
        <f>DO89*VLOOKUP('Données projet'!$B$14,Paramètres!$A$1:$I$89,3,0)*VLOOKUP('Données projet'!$B$14,Paramètres!$A$1:$I$89,5,0)</f>
        <v>256.94759999999991</v>
      </c>
      <c r="DQ89" s="13">
        <f t="shared" si="97"/>
        <v>62.071283104858246</v>
      </c>
      <c r="DR89" s="20">
        <f t="shared" si="70"/>
        <v>555.62455474096134</v>
      </c>
      <c r="DS89" s="59">
        <f t="shared" si="71"/>
        <v>848.95788807429471</v>
      </c>
      <c r="DT89" s="59">
        <f ca="1">AVERAGE(OFFSET($DS$3,0,0,'Données projet'!$E$14+1,1))-AVERAGE(OFFSET($H$3,0,0,'Données projet'!$E$14+1,1))</f>
        <v>308.80022073574963</v>
      </c>
      <c r="DU89" s="59">
        <f t="shared" si="98"/>
        <v>183.96267407004115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69.843585051966642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69.843585051966642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266.99999999999983</v>
      </c>
      <c r="EK89" s="17">
        <f>EJ89*VLOOKUP('Données projet'!$B$15,Paramètres!$A$1:$I$89,3,0)*VLOOKUP('Données projet'!$B$15,Paramètres!$A$1:$I$89,5,0)</f>
        <v>174.93839999999989</v>
      </c>
      <c r="EL89" s="13">
        <f t="shared" si="99"/>
        <v>44.194210865203175</v>
      </c>
      <c r="EM89" s="20">
        <f t="shared" si="73"/>
        <v>381.65596392356196</v>
      </c>
      <c r="EN89" s="59">
        <f t="shared" si="74"/>
        <v>674.98929725689527</v>
      </c>
      <c r="EO89" s="59">
        <f ca="1">AVERAGE(OFFSET($EN$3,0,0,'Données projet'!$E$15+1,1))-AVERAGE(OFFSET($H$3,0,0,'Données projet'!$E$15+1,1))</f>
        <v>178.71569711875242</v>
      </c>
      <c r="EP89" s="59">
        <f t="shared" si="100"/>
        <v>178.13848582064168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25.740913003218584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25.740913003218584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5.4</v>
      </c>
      <c r="FE89" s="12">
        <f>IF('Données projet'!$A$218&gt;35,FE88+FD89-FM88,IF(A89&lt;'Données projet'!$A$218,$FB$205^A89,IF(A89='Données projet'!$A$218,'Données projet'!$B$218,FE88+FD89-FM88)))</f>
        <v>253.39999999999992</v>
      </c>
      <c r="FF89" s="17">
        <f>FE89*VLOOKUP('Données projet'!$B$16,Paramètres!$A$1:$I$89,3,0)*VLOOKUP('Données projet'!$B$16,Paramètres!$A$1:$I$89,5,0)</f>
        <v>213.46415999999994</v>
      </c>
      <c r="FG89" s="13">
        <f t="shared" si="101"/>
        <v>52.691869461482241</v>
      </c>
      <c r="FH89" s="20">
        <f t="shared" si="76"/>
        <v>463.55508464541475</v>
      </c>
      <c r="FI89" s="59">
        <f t="shared" si="77"/>
        <v>756.88841797874807</v>
      </c>
      <c r="FJ89" s="59">
        <f ca="1">AVERAGE(OFFSET($FI$3,0,0,'Données projet'!$E$16+1,1))-AVERAGE(OFFSET($H$3,0,0,'Données projet'!$E$16+1,1))</f>
        <v>247.22536892257716</v>
      </c>
      <c r="FK89" s="59">
        <f t="shared" si="102"/>
        <v>147.97952262756075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58.023901427787678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58.023901427787678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6">
        <f t="shared" si="56"/>
        <v>387.96487744763988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249.0000000000002</v>
      </c>
      <c r="O90" s="13">
        <f>N90*VLOOKUP('Données projet'!$B$9,Paramètres!$A$1:$I$89,3,0)*VLOOKUP('Données projet'!$B$9,Paramètres!$A$1:$I$89,5,0)</f>
        <v>217.52640000000019</v>
      </c>
      <c r="P90" s="13">
        <f t="shared" si="87"/>
        <v>53.576907690651304</v>
      </c>
      <c r="Q90" s="20">
        <f t="shared" si="54"/>
        <v>472.17159422788467</v>
      </c>
      <c r="R90" s="59">
        <f t="shared" si="55"/>
        <v>765.50492756121798</v>
      </c>
      <c r="S90" s="59">
        <f ca="1">AVERAGE(OFFSET($R$3,0,0,'Données projet'!$E$9+1,1))-AVERAGE(OFFSET($H$3,0,0,'Données projet'!$E$9+1,1))</f>
        <v>253.73326067725128</v>
      </c>
      <c r="T90" s="59">
        <f t="shared" si="88"/>
        <v>317.76427047458026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44.598765291445112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44.598765291445112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732.99999999999966</v>
      </c>
      <c r="AJ90" s="13">
        <f>AI90*VLOOKUP('Données projet'!$B$10,Paramètres!$A$1:$I$89,3,0)*VLOOKUP('Données projet'!$B$10,Paramètres!$A$1:$I$89,5,0)</f>
        <v>352.57299999999987</v>
      </c>
      <c r="AK90" s="13">
        <f t="shared" si="89"/>
        <v>82.092092597941644</v>
      </c>
      <c r="AL90" s="20">
        <f t="shared" si="58"/>
        <v>757.04170294141477</v>
      </c>
      <c r="AM90" s="59">
        <f t="shared" si="59"/>
        <v>1050.375036274748</v>
      </c>
      <c r="AN90" s="59">
        <f ca="1">AVERAGE(OFFSET($AM$3,0,0,'Données projet'!$E$10+1,1))-AVERAGE(OFFSET($H$3,0,0,'Données projet'!$E$10+1,1))</f>
        <v>349.65790906807746</v>
      </c>
      <c r="AO90" s="59">
        <f t="shared" si="90"/>
        <v>291.88925884278888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110.13231495088552</v>
      </c>
      <c r="AV90" s="21">
        <f>EXP(-LN(2)/25)*AV89+(1-EXP(-LN(2)/25))/(LN(2)/25)*Calculateur!AQ90*Calculateur!AS90*VLOOKUP('Données projet'!$B$10,Paramètres!$A$1:$I$89,3,0)*0.475*44/12</f>
        <v>8.4817286782132193</v>
      </c>
      <c r="AW90" s="21">
        <f>EXP(-LN(2)/2)*AW89+(1-EXP(-LN(2)/2))/(LN(2)/2)*AQ90*AT90*VLOOKUP('Données projet'!$B$10,Paramètres!$A$1:$I$89,3,0)*0.475*44/12</f>
        <v>1.3449217454389418E-10</v>
      </c>
      <c r="AX90" s="21">
        <f t="shared" si="60"/>
        <v>118.61404362923322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319</v>
      </c>
      <c r="BE90" s="13">
        <f>BD90*VLOOKUP('Données projet'!$B$11,Paramètres!$A$1:$I$89,3,0)*VLOOKUP('Données projet'!$B$11,Paramètres!$A$1:$I$89,5,0)</f>
        <v>253.79640000000001</v>
      </c>
      <c r="BF90" s="13">
        <f t="shared" si="91"/>
        <v>61.39816832228076</v>
      </c>
      <c r="BG90" s="20">
        <f t="shared" si="61"/>
        <v>548.96387316130563</v>
      </c>
      <c r="BH90" s="59">
        <f t="shared" si="62"/>
        <v>842.29720649463889</v>
      </c>
      <c r="BI90" s="59">
        <f ca="1">AVERAGE(OFFSET($BH$3,0,0,'Données projet'!$E$11+1,1))-AVERAGE(OFFSET($H$3,0,0,'Données projet'!$E$11+1,1))</f>
        <v>279.49721661620544</v>
      </c>
      <c r="BJ90" s="59">
        <f t="shared" si="92"/>
        <v>275.18739333988754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46.285639231157319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46.285639231157319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266.99999999999983</v>
      </c>
      <c r="BZ90" s="13">
        <f>BY90*VLOOKUP('Données projet'!$B$12,Paramètres!$A$1:$I$89,3,0)*VLOOKUP('Données projet'!$B$12,Paramètres!$A$1:$I$89,5,0)</f>
        <v>258.24239999999986</v>
      </c>
      <c r="CA90" s="13">
        <f t="shared" si="93"/>
        <v>62.347580891234152</v>
      </c>
      <c r="CB90" s="20">
        <f t="shared" si="64"/>
        <v>558.3608833855659</v>
      </c>
      <c r="CC90" s="59">
        <f t="shared" si="65"/>
        <v>851.69421671889927</v>
      </c>
      <c r="CD90" s="59">
        <f ca="1">AVERAGE(OFFSET($CC$3,0,0,'Données projet'!$E$12+1,1))-AVERAGE(OFFSET($H$3,0,0,'Données projet'!$E$12+1,1))</f>
        <v>281.84871057356037</v>
      </c>
      <c r="CE90" s="59">
        <f t="shared" si="94"/>
        <v>276.02211904126887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37.253363399456923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37.253363399456923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319</v>
      </c>
      <c r="CU90" s="17">
        <f>CT90*VLOOKUP('Données projet'!$B$13,Paramètres!$A$1:$I$89,3,0)*VLOOKUP('Données projet'!$B$13,Paramètres!$A$1:$I$89,5,0)</f>
        <v>253.79640000000001</v>
      </c>
      <c r="CV90" s="13">
        <f t="shared" si="95"/>
        <v>61.39816832228076</v>
      </c>
      <c r="CW90" s="20">
        <f t="shared" si="67"/>
        <v>548.96387316130563</v>
      </c>
      <c r="CX90" s="59">
        <f t="shared" si="68"/>
        <v>842.29720649463889</v>
      </c>
      <c r="CY90" s="59">
        <f ca="1">AVERAGE(OFFSET($CX$3,0,0,'Données projet'!$E$13+1,1))-AVERAGE(OFFSET($H$3,0,0,'Données projet'!$E$13+1,1))</f>
        <v>279.49721661620544</v>
      </c>
      <c r="CZ90" s="59">
        <f t="shared" si="96"/>
        <v>275.18739333988754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46.285639231157319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46.285639231157319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5.4</v>
      </c>
      <c r="DO90" s="12">
        <f>IF('Données projet'!$A$166&gt;35,DO89+DN90-DW89,IF(A90&lt;'Données projet'!$A$166,$DL$205^A90,IF(A90='Données projet'!$A$166,'Données projet'!$B$166,DO89+DN90-DW89)))</f>
        <v>258.7999999999999</v>
      </c>
      <c r="DP90" s="17">
        <f>DO90*VLOOKUP('Données projet'!$B$14,Paramètres!$A$1:$I$89,3,0)*VLOOKUP('Données projet'!$B$14,Paramètres!$A$1:$I$89,5,0)</f>
        <v>262.42319999999989</v>
      </c>
      <c r="DQ90" s="13">
        <f t="shared" si="97"/>
        <v>63.238627062047733</v>
      </c>
      <c r="DR90" s="20">
        <f t="shared" si="70"/>
        <v>567.19434879973289</v>
      </c>
      <c r="DS90" s="59">
        <f t="shared" si="71"/>
        <v>860.52768213306626</v>
      </c>
      <c r="DT90" s="59">
        <f ca="1">AVERAGE(OFFSET($DS$3,0,0,'Données projet'!$E$14+1,1))-AVERAGE(OFFSET($H$3,0,0,'Données projet'!$E$14+1,1))</f>
        <v>308.80022073574963</v>
      </c>
      <c r="DU90" s="59">
        <f t="shared" si="98"/>
        <v>183.96267407004115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68.473994949478026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68.473994949478026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266.99999999999983</v>
      </c>
      <c r="EK90" s="17">
        <f>EJ90*VLOOKUP('Données projet'!$B$15,Paramètres!$A$1:$I$89,3,0)*VLOOKUP('Données projet'!$B$15,Paramètres!$A$1:$I$89,5,0)</f>
        <v>174.93839999999989</v>
      </c>
      <c r="EL90" s="13">
        <f t="shared" si="99"/>
        <v>44.194210865203175</v>
      </c>
      <c r="EM90" s="20">
        <f t="shared" si="73"/>
        <v>381.65596392356196</v>
      </c>
      <c r="EN90" s="59">
        <f t="shared" si="74"/>
        <v>674.98929725689527</v>
      </c>
      <c r="EO90" s="59">
        <f ca="1">AVERAGE(OFFSET($EN$3,0,0,'Données projet'!$E$15+1,1))-AVERAGE(OFFSET($H$3,0,0,'Données projet'!$E$15+1,1))</f>
        <v>178.71569711875242</v>
      </c>
      <c r="EP90" s="59">
        <f t="shared" si="100"/>
        <v>178.13848582064168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25.236149399632112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25.236149399632112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5.4</v>
      </c>
      <c r="FE90" s="12">
        <f>IF('Données projet'!$A$218&gt;35,FE89+FD90-FM89,IF(A90&lt;'Données projet'!$A$218,$FB$205^A90,IF(A90='Données projet'!$A$218,'Données projet'!$B$218,FE89+FD90-FM89)))</f>
        <v>258.7999999999999</v>
      </c>
      <c r="FF90" s="17">
        <f>FE90*VLOOKUP('Données projet'!$B$16,Paramètres!$A$1:$I$89,3,0)*VLOOKUP('Données projet'!$B$16,Paramètres!$A$1:$I$89,5,0)</f>
        <v>218.01311999999993</v>
      </c>
      <c r="FG90" s="13">
        <f t="shared" si="101"/>
        <v>53.68281941985461</v>
      </c>
      <c r="FH90" s="20">
        <f t="shared" si="76"/>
        <v>473.20376115624663</v>
      </c>
      <c r="FI90" s="59">
        <f t="shared" si="77"/>
        <v>766.53709448957989</v>
      </c>
      <c r="FJ90" s="59">
        <f ca="1">AVERAGE(OFFSET($FI$3,0,0,'Données projet'!$E$16+1,1))-AVERAGE(OFFSET($H$3,0,0,'Données projet'!$E$16+1,1))</f>
        <v>247.22536892257716</v>
      </c>
      <c r="FK90" s="59">
        <f t="shared" si="102"/>
        <v>147.97952262756075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56.886088111874052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56.886088111874052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6">
        <f t="shared" si="56"/>
        <v>389.02335186298552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249.0000000000002</v>
      </c>
      <c r="O91" s="13">
        <f>N91*VLOOKUP('Données projet'!$B$9,Paramètres!$A$1:$I$89,3,0)*VLOOKUP('Données projet'!$B$9,Paramètres!$A$1:$I$89,5,0)</f>
        <v>217.52640000000019</v>
      </c>
      <c r="P91" s="13">
        <f t="shared" si="87"/>
        <v>53.576907690651304</v>
      </c>
      <c r="Q91" s="20">
        <f t="shared" si="54"/>
        <v>472.17159422788467</v>
      </c>
      <c r="R91" s="59">
        <f t="shared" si="55"/>
        <v>765.50492756121798</v>
      </c>
      <c r="S91" s="59">
        <f ca="1">AVERAGE(OFFSET($R$3,0,0,'Données projet'!$E$9+1,1))-AVERAGE(OFFSET($H$3,0,0,'Données projet'!$E$9+1,1))</f>
        <v>253.73326067725128</v>
      </c>
      <c r="T91" s="59">
        <f t="shared" si="88"/>
        <v>317.76427047458026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43.724210706640669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43.724210706640669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732.99999999999966</v>
      </c>
      <c r="AJ91" s="13">
        <f>AI91*VLOOKUP('Données projet'!$B$10,Paramètres!$A$1:$I$89,3,0)*VLOOKUP('Données projet'!$B$10,Paramètres!$A$1:$I$89,5,0)</f>
        <v>352.57299999999987</v>
      </c>
      <c r="AK91" s="13">
        <f t="shared" si="89"/>
        <v>82.092092597941644</v>
      </c>
      <c r="AL91" s="20">
        <f t="shared" si="58"/>
        <v>757.04170294141477</v>
      </c>
      <c r="AM91" s="59">
        <f t="shared" si="59"/>
        <v>1050.375036274748</v>
      </c>
      <c r="AN91" s="59">
        <f ca="1">AVERAGE(OFFSET($AM$3,0,0,'Données projet'!$E$10+1,1))-AVERAGE(OFFSET($H$3,0,0,'Données projet'!$E$10+1,1))</f>
        <v>349.65790906807746</v>
      </c>
      <c r="AO91" s="59">
        <f t="shared" si="90"/>
        <v>291.88925884278888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107.97268742877787</v>
      </c>
      <c r="AV91" s="21">
        <f>EXP(-LN(2)/25)*AV90+(1-EXP(-LN(2)/25))/(LN(2)/25)*Calculateur!AQ91*Calculateur!AS91*VLOOKUP('Données projet'!$B$10,Paramètres!$A$1:$I$89,3,0)*0.475*44/12</f>
        <v>8.2497953614727528</v>
      </c>
      <c r="AW91" s="21">
        <f>EXP(-LN(2)/2)*AW90+(1-EXP(-LN(2)/2))/(LN(2)/2)*AQ91*AT91*VLOOKUP('Données projet'!$B$10,Paramètres!$A$1:$I$89,3,0)*0.475*44/12</f>
        <v>9.5100328636512336E-11</v>
      </c>
      <c r="AX91" s="21">
        <f t="shared" si="60"/>
        <v>116.22248279034572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319</v>
      </c>
      <c r="BE91" s="13">
        <f>BD91*VLOOKUP('Données projet'!$B$11,Paramètres!$A$1:$I$89,3,0)*VLOOKUP('Données projet'!$B$11,Paramètres!$A$1:$I$89,5,0)</f>
        <v>253.79640000000001</v>
      </c>
      <c r="BF91" s="13">
        <f t="shared" si="91"/>
        <v>61.39816832228076</v>
      </c>
      <c r="BG91" s="20">
        <f t="shared" si="61"/>
        <v>548.96387316130563</v>
      </c>
      <c r="BH91" s="59">
        <f t="shared" si="62"/>
        <v>842.29720649463889</v>
      </c>
      <c r="BI91" s="59">
        <f ca="1">AVERAGE(OFFSET($BH$3,0,0,'Données projet'!$E$11+1,1))-AVERAGE(OFFSET($H$3,0,0,'Données projet'!$E$11+1,1))</f>
        <v>279.49721661620544</v>
      </c>
      <c r="BJ91" s="59">
        <f t="shared" si="92"/>
        <v>275.18739333988754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45.378006077286628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45.378006077286628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266.99999999999983</v>
      </c>
      <c r="BZ91" s="13">
        <f>BY91*VLOOKUP('Données projet'!$B$12,Paramètres!$A$1:$I$89,3,0)*VLOOKUP('Données projet'!$B$12,Paramètres!$A$1:$I$89,5,0)</f>
        <v>258.24239999999986</v>
      </c>
      <c r="CA91" s="13">
        <f t="shared" si="93"/>
        <v>62.347580891234152</v>
      </c>
      <c r="CB91" s="20">
        <f t="shared" si="64"/>
        <v>558.3608833855659</v>
      </c>
      <c r="CC91" s="59">
        <f t="shared" si="65"/>
        <v>851.69421671889927</v>
      </c>
      <c r="CD91" s="59">
        <f ca="1">AVERAGE(OFFSET($CC$3,0,0,'Données projet'!$E$12+1,1))-AVERAGE(OFFSET($H$3,0,0,'Données projet'!$E$12+1,1))</f>
        <v>281.84871057356037</v>
      </c>
      <c r="CE91" s="59">
        <f t="shared" si="94"/>
        <v>276.02211904126887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36.522847665501608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36.522847665501608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319</v>
      </c>
      <c r="CU91" s="17">
        <f>CT91*VLOOKUP('Données projet'!$B$13,Paramètres!$A$1:$I$89,3,0)*VLOOKUP('Données projet'!$B$13,Paramètres!$A$1:$I$89,5,0)</f>
        <v>253.79640000000001</v>
      </c>
      <c r="CV91" s="13">
        <f t="shared" si="95"/>
        <v>61.39816832228076</v>
      </c>
      <c r="CW91" s="20">
        <f t="shared" si="67"/>
        <v>548.96387316130563</v>
      </c>
      <c r="CX91" s="59">
        <f t="shared" si="68"/>
        <v>842.29720649463889</v>
      </c>
      <c r="CY91" s="59">
        <f ca="1">AVERAGE(OFFSET($CX$3,0,0,'Données projet'!$E$13+1,1))-AVERAGE(OFFSET($H$3,0,0,'Données projet'!$E$13+1,1))</f>
        <v>279.49721661620544</v>
      </c>
      <c r="CZ91" s="59">
        <f t="shared" si="96"/>
        <v>275.18739333988754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45.378006077286628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45.378006077286628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5.4</v>
      </c>
      <c r="DO91" s="12">
        <f>IF('Données projet'!$A$166&gt;35,DO90+DN91-DW90,IF(A91&lt;'Données projet'!$A$166,$DL$205^A91,IF(A91='Données projet'!$A$166,'Données projet'!$B$166,DO90+DN91-DW90)))</f>
        <v>264.19999999999987</v>
      </c>
      <c r="DP91" s="17">
        <f>DO91*VLOOKUP('Données projet'!$B$14,Paramètres!$A$1:$I$89,3,0)*VLOOKUP('Données projet'!$B$14,Paramètres!$A$1:$I$89,5,0)</f>
        <v>267.89879999999988</v>
      </c>
      <c r="DQ91" s="13">
        <f t="shared" si="97"/>
        <v>64.403139057834508</v>
      </c>
      <c r="DR91" s="20">
        <f t="shared" si="70"/>
        <v>578.75921052572812</v>
      </c>
      <c r="DS91" s="59">
        <f t="shared" si="71"/>
        <v>872.09254385906138</v>
      </c>
      <c r="DT91" s="59">
        <f ca="1">AVERAGE(OFFSET($DS$3,0,0,'Données projet'!$E$14+1,1))-AVERAGE(OFFSET($H$3,0,0,'Données projet'!$E$14+1,1))</f>
        <v>308.80022073574963</v>
      </c>
      <c r="DU91" s="59">
        <f t="shared" si="98"/>
        <v>183.96267407004115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67.131261673531725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67.131261673531725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266.99999999999983</v>
      </c>
      <c r="EK91" s="17">
        <f>EJ91*VLOOKUP('Données projet'!$B$15,Paramètres!$A$1:$I$89,3,0)*VLOOKUP('Données projet'!$B$15,Paramètres!$A$1:$I$89,5,0)</f>
        <v>174.93839999999989</v>
      </c>
      <c r="EL91" s="13">
        <f t="shared" si="99"/>
        <v>44.194210865203175</v>
      </c>
      <c r="EM91" s="20">
        <f t="shared" si="73"/>
        <v>381.65596392356196</v>
      </c>
      <c r="EN91" s="59">
        <f t="shared" si="74"/>
        <v>674.98929725689527</v>
      </c>
      <c r="EO91" s="59">
        <f ca="1">AVERAGE(OFFSET($EN$3,0,0,'Données projet'!$E$15+1,1))-AVERAGE(OFFSET($H$3,0,0,'Données projet'!$E$15+1,1))</f>
        <v>178.71569711875242</v>
      </c>
      <c r="EP91" s="59">
        <f t="shared" si="100"/>
        <v>178.13848582064168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24.741283902436574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24.741283902436574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5.4</v>
      </c>
      <c r="FE91" s="12">
        <f>IF('Données projet'!$A$218&gt;35,FE90+FD91-FM90,IF(A91&lt;'Données projet'!$A$218,$FB$205^A91,IF(A91='Données projet'!$A$218,'Données projet'!$B$218,FE90+FD91-FM90)))</f>
        <v>264.19999999999987</v>
      </c>
      <c r="FF91" s="17">
        <f>FE91*VLOOKUP('Données projet'!$B$16,Paramètres!$A$1:$I$89,3,0)*VLOOKUP('Données projet'!$B$16,Paramètres!$A$1:$I$89,5,0)</f>
        <v>222.56207999999992</v>
      </c>
      <c r="FG91" s="13">
        <f t="shared" si="101"/>
        <v>54.671365346393124</v>
      </c>
      <c r="FH91" s="20">
        <f t="shared" si="76"/>
        <v>482.84825064496795</v>
      </c>
      <c r="FI91" s="59">
        <f t="shared" si="77"/>
        <v>776.18158397830121</v>
      </c>
      <c r="FJ91" s="59">
        <f ca="1">AVERAGE(OFFSET($FI$3,0,0,'Données projet'!$E$16+1,1))-AVERAGE(OFFSET($H$3,0,0,'Données projet'!$E$16+1,1))</f>
        <v>247.22536892257716</v>
      </c>
      <c r="FK91" s="59">
        <f t="shared" si="102"/>
        <v>147.97952262756075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55.770586621087901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55.770586621087901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6">
        <f t="shared" si="56"/>
        <v>390.08153449547615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249.0000000000002</v>
      </c>
      <c r="O92" s="13">
        <f>N92*VLOOKUP('Données projet'!$B$9,Paramètres!$A$1:$I$89,3,0)*VLOOKUP('Données projet'!$B$9,Paramètres!$A$1:$I$89,5,0)</f>
        <v>217.52640000000019</v>
      </c>
      <c r="P92" s="13">
        <f t="shared" si="87"/>
        <v>53.576907690651304</v>
      </c>
      <c r="Q92" s="20">
        <f t="shared" si="54"/>
        <v>472.17159422788467</v>
      </c>
      <c r="R92" s="59">
        <f t="shared" si="55"/>
        <v>765.50492756121798</v>
      </c>
      <c r="S92" s="59">
        <f ca="1">AVERAGE(OFFSET($R$3,0,0,'Données projet'!$E$9+1,1))-AVERAGE(OFFSET($H$3,0,0,'Données projet'!$E$9+1,1))</f>
        <v>253.73326067725128</v>
      </c>
      <c r="T92" s="59">
        <f t="shared" si="88"/>
        <v>317.76427047458026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42.866805603818619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42.866805603818619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732.99999999999966</v>
      </c>
      <c r="AJ92" s="13">
        <f>AI92*VLOOKUP('Données projet'!$B$10,Paramètres!$A$1:$I$89,3,0)*VLOOKUP('Données projet'!$B$10,Paramètres!$A$1:$I$89,5,0)</f>
        <v>352.57299999999987</v>
      </c>
      <c r="AK92" s="13">
        <f t="shared" si="89"/>
        <v>82.092092597941644</v>
      </c>
      <c r="AL92" s="20">
        <f t="shared" si="58"/>
        <v>757.04170294141477</v>
      </c>
      <c r="AM92" s="59">
        <f t="shared" si="59"/>
        <v>1050.375036274748</v>
      </c>
      <c r="AN92" s="59">
        <f ca="1">AVERAGE(OFFSET($AM$3,0,0,'Données projet'!$E$10+1,1))-AVERAGE(OFFSET($H$3,0,0,'Données projet'!$E$10+1,1))</f>
        <v>349.65790906807746</v>
      </c>
      <c r="AO92" s="59">
        <f t="shared" si="90"/>
        <v>291.88925884278888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105.85540888513604</v>
      </c>
      <c r="AV92" s="21">
        <f>EXP(-LN(2)/25)*AV91+(1-EXP(-LN(2)/25))/(LN(2)/25)*Calculateur!AQ92*Calculateur!AS92*VLOOKUP('Données projet'!$B$10,Paramètres!$A$1:$I$89,3,0)*0.475*44/12</f>
        <v>8.024204273475398</v>
      </c>
      <c r="AW92" s="21">
        <f>EXP(-LN(2)/2)*AW91+(1-EXP(-LN(2)/2))/(LN(2)/2)*AQ92*AT92*VLOOKUP('Données projet'!$B$10,Paramètres!$A$1:$I$89,3,0)*0.475*44/12</f>
        <v>6.7246087271947088E-11</v>
      </c>
      <c r="AX92" s="21">
        <f t="shared" si="60"/>
        <v>113.87961315867869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319</v>
      </c>
      <c r="BE92" s="13">
        <f>BD92*VLOOKUP('Données projet'!$B$11,Paramètres!$A$1:$I$89,3,0)*VLOOKUP('Données projet'!$B$11,Paramètres!$A$1:$I$89,5,0)</f>
        <v>253.79640000000001</v>
      </c>
      <c r="BF92" s="13">
        <f t="shared" si="91"/>
        <v>61.39816832228076</v>
      </c>
      <c r="BG92" s="20">
        <f t="shared" si="61"/>
        <v>548.96387316130563</v>
      </c>
      <c r="BH92" s="59">
        <f t="shared" si="62"/>
        <v>842.29720649463889</v>
      </c>
      <c r="BI92" s="59">
        <f ca="1">AVERAGE(OFFSET($BH$3,0,0,'Données projet'!$E$11+1,1))-AVERAGE(OFFSET($H$3,0,0,'Données projet'!$E$11+1,1))</f>
        <v>279.49721661620544</v>
      </c>
      <c r="BJ92" s="59">
        <f t="shared" si="92"/>
        <v>275.18739333988754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44.488171055961786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44.488171055961786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266.99999999999983</v>
      </c>
      <c r="BZ92" s="13">
        <f>BY92*VLOOKUP('Données projet'!$B$12,Paramètres!$A$1:$I$89,3,0)*VLOOKUP('Données projet'!$B$12,Paramètres!$A$1:$I$89,5,0)</f>
        <v>258.24239999999986</v>
      </c>
      <c r="CA92" s="13">
        <f t="shared" si="93"/>
        <v>62.347580891234152</v>
      </c>
      <c r="CB92" s="20">
        <f t="shared" si="64"/>
        <v>558.3608833855659</v>
      </c>
      <c r="CC92" s="59">
        <f t="shared" si="65"/>
        <v>851.69421671889927</v>
      </c>
      <c r="CD92" s="59">
        <f ca="1">AVERAGE(OFFSET($CC$3,0,0,'Données projet'!$E$12+1,1))-AVERAGE(OFFSET($H$3,0,0,'Données projet'!$E$12+1,1))</f>
        <v>281.84871057356037</v>
      </c>
      <c r="CE92" s="59">
        <f t="shared" si="94"/>
        <v>276.02211904126887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35.806656899518551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35.806656899518551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319</v>
      </c>
      <c r="CU92" s="17">
        <f>CT92*VLOOKUP('Données projet'!$B$13,Paramètres!$A$1:$I$89,3,0)*VLOOKUP('Données projet'!$B$13,Paramètres!$A$1:$I$89,5,0)</f>
        <v>253.79640000000001</v>
      </c>
      <c r="CV92" s="13">
        <f t="shared" si="95"/>
        <v>61.39816832228076</v>
      </c>
      <c r="CW92" s="20">
        <f t="shared" si="67"/>
        <v>548.96387316130563</v>
      </c>
      <c r="CX92" s="59">
        <f t="shared" si="68"/>
        <v>842.29720649463889</v>
      </c>
      <c r="CY92" s="59">
        <f ca="1">AVERAGE(OFFSET($CX$3,0,0,'Données projet'!$E$13+1,1))-AVERAGE(OFFSET($H$3,0,0,'Données projet'!$E$13+1,1))</f>
        <v>279.49721661620544</v>
      </c>
      <c r="CZ92" s="59">
        <f t="shared" si="96"/>
        <v>275.18739333988754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44.488171055961786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44.488171055961786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5.4</v>
      </c>
      <c r="DO92" s="12">
        <f>IF('Données projet'!$A$166&gt;35,DO91+DN92-DW91,IF(A92&lt;'Données projet'!$A$166,$DL$205^A92,IF(A92='Données projet'!$A$166,'Données projet'!$B$166,DO91+DN92-DW91)))</f>
        <v>269.59999999999985</v>
      </c>
      <c r="DP92" s="17">
        <f>DO92*VLOOKUP('Données projet'!$B$14,Paramètres!$A$1:$I$89,3,0)*VLOOKUP('Données projet'!$B$14,Paramètres!$A$1:$I$89,5,0)</f>
        <v>273.37439999999987</v>
      </c>
      <c r="DQ92" s="13">
        <f t="shared" si="97"/>
        <v>65.564883644654373</v>
      </c>
      <c r="DR92" s="20">
        <f t="shared" si="70"/>
        <v>590.3192523477727</v>
      </c>
      <c r="DS92" s="59">
        <f t="shared" si="71"/>
        <v>883.65258568110607</v>
      </c>
      <c r="DT92" s="59">
        <f ca="1">AVERAGE(OFFSET($DS$3,0,0,'Données projet'!$E$14+1,1))-AVERAGE(OFFSET($H$3,0,0,'Données projet'!$E$14+1,1))</f>
        <v>308.80022073574963</v>
      </c>
      <c r="DU92" s="59">
        <f t="shared" si="98"/>
        <v>183.96267407004115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65.814858578140303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65.814858578140303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266.99999999999983</v>
      </c>
      <c r="EK92" s="17">
        <f>EJ92*VLOOKUP('Données projet'!$B$15,Paramètres!$A$1:$I$89,3,0)*VLOOKUP('Données projet'!$B$15,Paramètres!$A$1:$I$89,5,0)</f>
        <v>174.93839999999989</v>
      </c>
      <c r="EL92" s="13">
        <f t="shared" si="99"/>
        <v>44.194210865203175</v>
      </c>
      <c r="EM92" s="20">
        <f t="shared" si="73"/>
        <v>381.65596392356196</v>
      </c>
      <c r="EN92" s="59">
        <f t="shared" si="74"/>
        <v>674.98929725689527</v>
      </c>
      <c r="EO92" s="59">
        <f ca="1">AVERAGE(OFFSET($EN$3,0,0,'Données projet'!$E$15+1,1))-AVERAGE(OFFSET($H$3,0,0,'Données projet'!$E$15+1,1))</f>
        <v>178.71569711875242</v>
      </c>
      <c r="EP92" s="59">
        <f t="shared" si="100"/>
        <v>178.13848582064168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24.256122415802892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24.256122415802892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5.4</v>
      </c>
      <c r="FE92" s="12">
        <f>IF('Données projet'!$A$218&gt;35,FE91+FD92-FM91,IF(A92&lt;'Données projet'!$A$218,$FB$205^A92,IF(A92='Données projet'!$A$218,'Données projet'!$B$218,FE91+FD92-FM91)))</f>
        <v>269.59999999999985</v>
      </c>
      <c r="FF92" s="17">
        <f>FE92*VLOOKUP('Données projet'!$B$16,Paramètres!$A$1:$I$89,3,0)*VLOOKUP('Données projet'!$B$16,Paramètres!$A$1:$I$89,5,0)</f>
        <v>227.11103999999989</v>
      </c>
      <c r="FG92" s="13">
        <f t="shared" si="101"/>
        <v>55.657562039200045</v>
      </c>
      <c r="FH92" s="20">
        <f t="shared" si="76"/>
        <v>492.48864855160656</v>
      </c>
      <c r="FI92" s="59">
        <f t="shared" si="77"/>
        <v>785.82198188493987</v>
      </c>
      <c r="FJ92" s="59">
        <f ca="1">AVERAGE(OFFSET($FI$3,0,0,'Données projet'!$E$16+1,1))-AVERAGE(OFFSET($H$3,0,0,'Données projet'!$E$16+1,1))</f>
        <v>247.22536892257716</v>
      </c>
      <c r="FK92" s="59">
        <f t="shared" si="102"/>
        <v>147.97952262756075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54.676959434147335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54.676959434147335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6">
        <f t="shared" si="56"/>
        <v>391.13942900294575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249.0000000000002</v>
      </c>
      <c r="O93" s="13">
        <f>N93*VLOOKUP('Données projet'!$B$9,Paramètres!$A$1:$I$89,3,0)*VLOOKUP('Données projet'!$B$9,Paramètres!$A$1:$I$89,5,0)</f>
        <v>217.52640000000019</v>
      </c>
      <c r="P93" s="13">
        <f t="shared" si="87"/>
        <v>53.576907690651304</v>
      </c>
      <c r="Q93" s="20">
        <f t="shared" si="54"/>
        <v>472.17159422788467</v>
      </c>
      <c r="R93" s="59">
        <f t="shared" si="55"/>
        <v>765.50492756121798</v>
      </c>
      <c r="S93" s="59">
        <f ca="1">AVERAGE(OFFSET($R$3,0,0,'Données projet'!$E$9+1,1))-AVERAGE(OFFSET($H$3,0,0,'Données projet'!$E$9+1,1))</f>
        <v>253.73326067725128</v>
      </c>
      <c r="T93" s="59">
        <f t="shared" si="88"/>
        <v>317.76427047458026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42.026213692097436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42.026213692097436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732.99999999999966</v>
      </c>
      <c r="AJ93" s="13">
        <f>AI93*VLOOKUP('Données projet'!$B$10,Paramètres!$A$1:$I$89,3,0)*VLOOKUP('Données projet'!$B$10,Paramètres!$A$1:$I$89,5,0)</f>
        <v>352.57299999999987</v>
      </c>
      <c r="AK93" s="13">
        <f t="shared" si="89"/>
        <v>82.092092597941644</v>
      </c>
      <c r="AL93" s="20">
        <f t="shared" si="58"/>
        <v>757.04170294141477</v>
      </c>
      <c r="AM93" s="59">
        <f t="shared" si="59"/>
        <v>1050.375036274748</v>
      </c>
      <c r="AN93" s="59">
        <f ca="1">AVERAGE(OFFSET($AM$3,0,0,'Données projet'!$E$10+1,1))-AVERAGE(OFFSET($H$3,0,0,'Données projet'!$E$10+1,1))</f>
        <v>349.65790906807746</v>
      </c>
      <c r="AO93" s="59">
        <f t="shared" si="90"/>
        <v>291.88925884278888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103.77964888232263</v>
      </c>
      <c r="AV93" s="21">
        <f>EXP(-LN(2)/25)*AV92+(1-EXP(-LN(2)/25))/(LN(2)/25)*Calculateur!AQ93*Calculateur!AS93*VLOOKUP('Données projet'!$B$10,Paramètres!$A$1:$I$89,3,0)*0.475*44/12</f>
        <v>7.8047819856426504</v>
      </c>
      <c r="AW93" s="21">
        <f>EXP(-LN(2)/2)*AW92+(1-EXP(-LN(2)/2))/(LN(2)/2)*AQ93*AT93*VLOOKUP('Données projet'!$B$10,Paramètres!$A$1:$I$89,3,0)*0.475*44/12</f>
        <v>4.7550164318256168E-11</v>
      </c>
      <c r="AX93" s="21">
        <f t="shared" si="60"/>
        <v>111.58443086801283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319</v>
      </c>
      <c r="BE93" s="13">
        <f>BD93*VLOOKUP('Données projet'!$B$11,Paramètres!$A$1:$I$89,3,0)*VLOOKUP('Données projet'!$B$11,Paramètres!$A$1:$I$89,5,0)</f>
        <v>253.79640000000001</v>
      </c>
      <c r="BF93" s="13">
        <f t="shared" si="91"/>
        <v>61.39816832228076</v>
      </c>
      <c r="BG93" s="20">
        <f t="shared" si="61"/>
        <v>548.96387316130563</v>
      </c>
      <c r="BH93" s="59">
        <f t="shared" si="62"/>
        <v>842.29720649463889</v>
      </c>
      <c r="BI93" s="59">
        <f ca="1">AVERAGE(OFFSET($BH$3,0,0,'Données projet'!$E$11+1,1))-AVERAGE(OFFSET($H$3,0,0,'Données projet'!$E$11+1,1))</f>
        <v>279.49721661620544</v>
      </c>
      <c r="BJ93" s="59">
        <f t="shared" si="92"/>
        <v>275.18739333988754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43.615785156659349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43.615785156659349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266.99999999999983</v>
      </c>
      <c r="BZ93" s="13">
        <f>BY93*VLOOKUP('Données projet'!$B$12,Paramètres!$A$1:$I$89,3,0)*VLOOKUP('Données projet'!$B$12,Paramètres!$A$1:$I$89,5,0)</f>
        <v>258.24239999999986</v>
      </c>
      <c r="CA93" s="13">
        <f t="shared" si="93"/>
        <v>62.347580891234152</v>
      </c>
      <c r="CB93" s="20">
        <f t="shared" si="64"/>
        <v>558.3608833855659</v>
      </c>
      <c r="CC93" s="59">
        <f t="shared" si="65"/>
        <v>851.69421671889927</v>
      </c>
      <c r="CD93" s="59">
        <f ca="1">AVERAGE(OFFSET($CC$3,0,0,'Données projet'!$E$12+1,1))-AVERAGE(OFFSET($H$3,0,0,'Données projet'!$E$12+1,1))</f>
        <v>281.84871057356037</v>
      </c>
      <c r="CE93" s="59">
        <f t="shared" si="94"/>
        <v>276.02211904126887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35.104510197623192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35.104510197623192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319</v>
      </c>
      <c r="CU93" s="17">
        <f>CT93*VLOOKUP('Données projet'!$B$13,Paramètres!$A$1:$I$89,3,0)*VLOOKUP('Données projet'!$B$13,Paramètres!$A$1:$I$89,5,0)</f>
        <v>253.79640000000001</v>
      </c>
      <c r="CV93" s="13">
        <f t="shared" si="95"/>
        <v>61.39816832228076</v>
      </c>
      <c r="CW93" s="20">
        <f t="shared" si="67"/>
        <v>548.96387316130563</v>
      </c>
      <c r="CX93" s="59">
        <f t="shared" si="68"/>
        <v>842.29720649463889</v>
      </c>
      <c r="CY93" s="59">
        <f ca="1">AVERAGE(OFFSET($CX$3,0,0,'Données projet'!$E$13+1,1))-AVERAGE(OFFSET($H$3,0,0,'Données projet'!$E$13+1,1))</f>
        <v>279.49721661620544</v>
      </c>
      <c r="CZ93" s="59">
        <f t="shared" si="96"/>
        <v>275.18739333988754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43.615785156659349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43.615785156659349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275</v>
      </c>
      <c r="DM93" s="12">
        <f>VLOOKUP(A93,'Données projet'!$A$165:$I$185,9,0)</f>
        <v>5.4</v>
      </c>
      <c r="DN93" s="12">
        <f t="array" ref="DN93">INDEX(DM:DM,MIN(IF(ISNUMBER(DM93:DM289),ROW(DM93:DM289),"")))</f>
        <v>5.4</v>
      </c>
      <c r="DO93" s="12">
        <f>IF('Données projet'!$A$166&gt;35,DO92+DN93-DW92,IF(A93&lt;'Données projet'!$A$166,$DL$205^A93,IF(A93='Données projet'!$A$166,'Données projet'!$B$166,DO92+DN93-DW92)))</f>
        <v>274.99999999999983</v>
      </c>
      <c r="DP93" s="17">
        <f>DO93*VLOOKUP('Données projet'!$B$14,Paramètres!$A$1:$I$89,3,0)*VLOOKUP('Données projet'!$B$14,Paramètres!$A$1:$I$89,5,0)</f>
        <v>278.84999999999985</v>
      </c>
      <c r="DQ93" s="13">
        <f t="shared" si="97"/>
        <v>66.723922641152967</v>
      </c>
      <c r="DR93" s="20">
        <f t="shared" si="70"/>
        <v>601.87458193334112</v>
      </c>
      <c r="DS93" s="59">
        <f t="shared" si="71"/>
        <v>895.20791526667449</v>
      </c>
      <c r="DT93" s="59">
        <f ca="1">AVERAGE(OFFSET($DS$3,0,0,'Données projet'!$E$14+1,1))-AVERAGE(OFFSET($H$3,0,0,'Données projet'!$E$14+1,1))</f>
        <v>308.80022073574963</v>
      </c>
      <c r="DU93" s="59">
        <f t="shared" si="98"/>
        <v>183.96267407004115</v>
      </c>
      <c r="DV93" s="15">
        <f>IF(ISNA(VLOOKUP(A93,'Données projet'!$A$165:$I$185,3,0)),0,VLOOKUP(A93,'Données projet'!$A$165:$I$185,3,0))</f>
        <v>14</v>
      </c>
      <c r="DW93" s="15">
        <f>IF(ISNA(VLOOKUP(A93,'Données projet'!$A$165:$I$185,4,0)),0,VLOOKUP(A93,'Données projet'!$A$165:$I$185,4,0))</f>
        <v>21</v>
      </c>
      <c r="DX93" s="16">
        <f>IF(ISNA(VLOOKUP(A93,'Données projet'!$A$165:$I$185,5,0)),0%,VLOOKUP(A93,'Données projet'!$A$165:$I$185,5,0)*VLOOKUP('Données projet'!$B$14,Paramètres!$A$1:$I$89,7,0))</f>
        <v>0.43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74.646420437086007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74.646420437086007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266.99999999999983</v>
      </c>
      <c r="EK93" s="17">
        <f>EJ93*VLOOKUP('Données projet'!$B$15,Paramètres!$A$1:$I$89,3,0)*VLOOKUP('Données projet'!$B$15,Paramètres!$A$1:$I$89,5,0)</f>
        <v>174.93839999999989</v>
      </c>
      <c r="EL93" s="13">
        <f t="shared" si="99"/>
        <v>44.194210865203175</v>
      </c>
      <c r="EM93" s="20">
        <f t="shared" si="73"/>
        <v>381.65596392356196</v>
      </c>
      <c r="EN93" s="59">
        <f t="shared" si="74"/>
        <v>674.98929725689527</v>
      </c>
      <c r="EO93" s="59">
        <f ca="1">AVERAGE(OFFSET($EN$3,0,0,'Données projet'!$E$15+1,1))-AVERAGE(OFFSET($H$3,0,0,'Données projet'!$E$15+1,1))</f>
        <v>178.71569711875242</v>
      </c>
      <c r="EP93" s="59">
        <f t="shared" si="100"/>
        <v>178.13848582064168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23.780474650002809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23.780474650002809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>
        <f>VLOOKUP(A93,'Données projet'!$A$217:$I$237,2,0)</f>
        <v>275</v>
      </c>
      <c r="FC93" s="12">
        <f>VLOOKUP(A93,'Données projet'!$A$217:$I$237,9,0)</f>
        <v>5.4</v>
      </c>
      <c r="FD93" s="12">
        <f t="array" ref="FD93">INDEX(FC:FC,MIN(IF(ISNUMBER(FC93:FC289),ROW(FC93:FC289),"")))</f>
        <v>5.4</v>
      </c>
      <c r="FE93" s="12">
        <f>IF('Données projet'!$A$218&gt;35,FE92+FD93-FM92,IF(A93&lt;'Données projet'!$A$218,$FB$205^A93,IF(A93='Données projet'!$A$218,'Données projet'!$B$218,FE92+FD93-FM92)))</f>
        <v>274.99999999999983</v>
      </c>
      <c r="FF93" s="17">
        <f>FE93*VLOOKUP('Données projet'!$B$16,Paramètres!$A$1:$I$89,3,0)*VLOOKUP('Données projet'!$B$16,Paramètres!$A$1:$I$89,5,0)</f>
        <v>231.65999999999988</v>
      </c>
      <c r="FG93" s="13">
        <f t="shared" si="101"/>
        <v>56.641461975682766</v>
      </c>
      <c r="FH93" s="20">
        <f t="shared" si="76"/>
        <v>502.12504627431389</v>
      </c>
      <c r="FI93" s="59">
        <f t="shared" si="77"/>
        <v>795.4583796076472</v>
      </c>
      <c r="FJ93" s="59">
        <f ca="1">AVERAGE(OFFSET($FI$3,0,0,'Données projet'!$E$16+1,1))-AVERAGE(OFFSET($H$3,0,0,'Données projet'!$E$16+1,1))</f>
        <v>247.22536892257716</v>
      </c>
      <c r="FK93" s="59">
        <f t="shared" si="102"/>
        <v>147.97952262756075</v>
      </c>
      <c r="FL93" s="15">
        <f>IF(ISNA(VLOOKUP(A93,'Données projet'!$A$217:$I$237,3,0)),0,VLOOKUP(A93,'Données projet'!$A$217:$I$237,3,0))</f>
        <v>14</v>
      </c>
      <c r="FM93" s="15">
        <f>IF(ISNA(VLOOKUP(A93,'Données projet'!$A$217:$I$237,4,0)),0,VLOOKUP(A93,'Données projet'!$A$217:$I$237,4,0))</f>
        <v>21</v>
      </c>
      <c r="FN93" s="16">
        <f>IF(ISNA(VLOOKUP(A93,'Données projet'!$A$217:$I$237,5,0)),0%,VLOOKUP(A93,'Données projet'!$A$217:$I$237,5,0)*VLOOKUP('Données projet'!$B$16,Paramètres!$A$1:$I$89,7,0))</f>
        <v>0.43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62.013949286194531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62.013949286194531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6">
        <f t="shared" si="56"/>
        <v>392.19703895726269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249.0000000000002</v>
      </c>
      <c r="O94" s="13">
        <f>N94*VLOOKUP('Données projet'!$B$9,Paramètres!$A$1:$I$89,3,0)*VLOOKUP('Données projet'!$B$9,Paramètres!$A$1:$I$89,5,0)</f>
        <v>217.52640000000019</v>
      </c>
      <c r="P94" s="13">
        <f t="shared" si="87"/>
        <v>53.576907690651304</v>
      </c>
      <c r="Q94" s="20">
        <f t="shared" si="54"/>
        <v>472.17159422788467</v>
      </c>
      <c r="R94" s="59">
        <f t="shared" si="55"/>
        <v>765.50492756121798</v>
      </c>
      <c r="S94" s="59">
        <f ca="1">AVERAGE(OFFSET($R$3,0,0,'Données projet'!$E$9+1,1))-AVERAGE(OFFSET($H$3,0,0,'Données projet'!$E$9+1,1))</f>
        <v>253.73326067725128</v>
      </c>
      <c r="T94" s="59">
        <f t="shared" si="88"/>
        <v>317.76427047458026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41.202105275054663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41.202105275054663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732.99999999999966</v>
      </c>
      <c r="AJ94" s="13">
        <f>AI94*VLOOKUP('Données projet'!$B$10,Paramètres!$A$1:$I$89,3,0)*VLOOKUP('Données projet'!$B$10,Paramètres!$A$1:$I$89,5,0)</f>
        <v>352.57299999999987</v>
      </c>
      <c r="AK94" s="13">
        <f t="shared" si="89"/>
        <v>82.092092597941644</v>
      </c>
      <c r="AL94" s="20">
        <f t="shared" si="58"/>
        <v>757.04170294141477</v>
      </c>
      <c r="AM94" s="59">
        <f t="shared" si="59"/>
        <v>1050.375036274748</v>
      </c>
      <c r="AN94" s="59">
        <f ca="1">AVERAGE(OFFSET($AM$3,0,0,'Données projet'!$E$10+1,1))-AVERAGE(OFFSET($H$3,0,0,'Données projet'!$E$10+1,1))</f>
        <v>349.65790906807746</v>
      </c>
      <c r="AO94" s="59">
        <f t="shared" si="90"/>
        <v>291.88925884278888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101.74459326707581</v>
      </c>
      <c r="AV94" s="21">
        <f>EXP(-LN(2)/25)*AV93+(1-EXP(-LN(2)/25))/(LN(2)/25)*Calculateur!AQ94*Calculateur!AS94*VLOOKUP('Données projet'!$B$10,Paramètres!$A$1:$I$89,3,0)*0.475*44/12</f>
        <v>7.591359811809606</v>
      </c>
      <c r="AW94" s="21">
        <f>EXP(-LN(2)/2)*AW93+(1-EXP(-LN(2)/2))/(LN(2)/2)*AQ94*AT94*VLOOKUP('Données projet'!$B$10,Paramètres!$A$1:$I$89,3,0)*0.475*44/12</f>
        <v>3.3623043635973544E-11</v>
      </c>
      <c r="AX94" s="21">
        <f t="shared" si="60"/>
        <v>109.33595307891905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319</v>
      </c>
      <c r="BE94" s="13">
        <f>BD94*VLOOKUP('Données projet'!$B$11,Paramètres!$A$1:$I$89,3,0)*VLOOKUP('Données projet'!$B$11,Paramètres!$A$1:$I$89,5,0)</f>
        <v>253.79640000000001</v>
      </c>
      <c r="BF94" s="13">
        <f t="shared" si="91"/>
        <v>61.39816832228076</v>
      </c>
      <c r="BG94" s="20">
        <f t="shared" si="61"/>
        <v>548.96387316130563</v>
      </c>
      <c r="BH94" s="59">
        <f t="shared" si="62"/>
        <v>842.29720649463889</v>
      </c>
      <c r="BI94" s="59">
        <f ca="1">AVERAGE(OFFSET($BH$3,0,0,'Données projet'!$E$11+1,1))-AVERAGE(OFFSET($H$3,0,0,'Données projet'!$E$11+1,1))</f>
        <v>279.49721661620544</v>
      </c>
      <c r="BJ94" s="59">
        <f t="shared" si="92"/>
        <v>275.18739333988754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42.760506212739379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42.760506212739379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266.99999999999983</v>
      </c>
      <c r="BZ94" s="13">
        <f>BY94*VLOOKUP('Données projet'!$B$12,Paramètres!$A$1:$I$89,3,0)*VLOOKUP('Données projet'!$B$12,Paramètres!$A$1:$I$89,5,0)</f>
        <v>258.24239999999986</v>
      </c>
      <c r="CA94" s="13">
        <f t="shared" si="93"/>
        <v>62.347580891234152</v>
      </c>
      <c r="CB94" s="20">
        <f t="shared" si="64"/>
        <v>558.3608833855659</v>
      </c>
      <c r="CC94" s="59">
        <f t="shared" si="65"/>
        <v>851.69421671889927</v>
      </c>
      <c r="CD94" s="59">
        <f ca="1">AVERAGE(OFFSET($CC$3,0,0,'Données projet'!$E$12+1,1))-AVERAGE(OFFSET($H$3,0,0,'Données projet'!$E$12+1,1))</f>
        <v>281.84871057356037</v>
      </c>
      <c r="CE94" s="59">
        <f t="shared" si="94"/>
        <v>276.02211904126887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34.416132164284797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34.416132164284797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319</v>
      </c>
      <c r="CU94" s="17">
        <f>CT94*VLOOKUP('Données projet'!$B$13,Paramètres!$A$1:$I$89,3,0)*VLOOKUP('Données projet'!$B$13,Paramètres!$A$1:$I$89,5,0)</f>
        <v>253.79640000000001</v>
      </c>
      <c r="CV94" s="13">
        <f t="shared" si="95"/>
        <v>61.39816832228076</v>
      </c>
      <c r="CW94" s="20">
        <f t="shared" si="67"/>
        <v>548.96387316130563</v>
      </c>
      <c r="CX94" s="59">
        <f t="shared" si="68"/>
        <v>842.29720649463889</v>
      </c>
      <c r="CY94" s="59">
        <f ca="1">AVERAGE(OFFSET($CX$3,0,0,'Données projet'!$E$13+1,1))-AVERAGE(OFFSET($H$3,0,0,'Données projet'!$E$13+1,1))</f>
        <v>279.49721661620544</v>
      </c>
      <c r="CZ94" s="59">
        <f t="shared" si="96"/>
        <v>275.18739333988754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42.760506212739379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42.760506212739379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5</v>
      </c>
      <c r="DO94" s="12">
        <f>IF('Données projet'!$A$166&gt;35,DO93+DN94-DW93,IF(A94&lt;'Données projet'!$A$166,$DL$205^A94,IF(A94='Données projet'!$A$166,'Données projet'!$B$166,DO93+DN94-DW93)))</f>
        <v>258.99999999999983</v>
      </c>
      <c r="DP94" s="17">
        <f>DO94*VLOOKUP('Données projet'!$B$14,Paramètres!$A$1:$I$89,3,0)*VLOOKUP('Données projet'!$B$14,Paramètres!$A$1:$I$89,5,0)</f>
        <v>262.62599999999986</v>
      </c>
      <c r="DQ94" s="13">
        <f t="shared" si="97"/>
        <v>63.281807230823397</v>
      </c>
      <c r="DR94" s="20">
        <f t="shared" si="70"/>
        <v>567.62276426035044</v>
      </c>
      <c r="DS94" s="59">
        <f t="shared" si="71"/>
        <v>860.95609759368381</v>
      </c>
      <c r="DT94" s="59">
        <f ca="1">AVERAGE(OFFSET($DS$3,0,0,'Données projet'!$E$14+1,1))-AVERAGE(OFFSET($H$3,0,0,'Données projet'!$E$14+1,1))</f>
        <v>308.80022073574963</v>
      </c>
      <c r="DU94" s="59">
        <f t="shared" si="98"/>
        <v>183.96267407004115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73.182649662135518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73.182649662135518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266.99999999999983</v>
      </c>
      <c r="EK94" s="17">
        <f>EJ94*VLOOKUP('Données projet'!$B$15,Paramètres!$A$1:$I$89,3,0)*VLOOKUP('Données projet'!$B$15,Paramètres!$A$1:$I$89,5,0)</f>
        <v>174.93839999999989</v>
      </c>
      <c r="EL94" s="13">
        <f t="shared" si="99"/>
        <v>44.194210865203175</v>
      </c>
      <c r="EM94" s="20">
        <f t="shared" si="73"/>
        <v>381.65596392356196</v>
      </c>
      <c r="EN94" s="59">
        <f t="shared" si="74"/>
        <v>674.98929725689527</v>
      </c>
      <c r="EO94" s="59">
        <f ca="1">AVERAGE(OFFSET($EN$3,0,0,'Données projet'!$E$15+1,1))-AVERAGE(OFFSET($H$3,0,0,'Données projet'!$E$15+1,1))</f>
        <v>178.71569711875242</v>
      </c>
      <c r="EP94" s="59">
        <f t="shared" si="100"/>
        <v>178.13848582064168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23.314154046773574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23.314154046773574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5</v>
      </c>
      <c r="FE94" s="12">
        <f>IF('Données projet'!$A$218&gt;35,FE93+FD94-FM93,IF(A94&lt;'Données projet'!$A$218,$FB$205^A94,IF(A94='Données projet'!$A$218,'Données projet'!$B$218,FE93+FD94-FM93)))</f>
        <v>258.99999999999983</v>
      </c>
      <c r="FF94" s="17">
        <f>FE94*VLOOKUP('Données projet'!$B$16,Paramètres!$A$1:$I$89,3,0)*VLOOKUP('Données projet'!$B$16,Paramètres!$A$1:$I$89,5,0)</f>
        <v>218.18159999999989</v>
      </c>
      <c r="FG94" s="13">
        <f t="shared" si="101"/>
        <v>53.719474757115933</v>
      </c>
      <c r="FH94" s="20">
        <f t="shared" si="76"/>
        <v>473.56103853531005</v>
      </c>
      <c r="FI94" s="59">
        <f t="shared" si="77"/>
        <v>766.89437186864336</v>
      </c>
      <c r="FJ94" s="59">
        <f ca="1">AVERAGE(OFFSET($FI$3,0,0,'Données projet'!$E$16+1,1))-AVERAGE(OFFSET($H$3,0,0,'Données projet'!$E$16+1,1))</f>
        <v>247.22536892257716</v>
      </c>
      <c r="FK94" s="59">
        <f t="shared" si="102"/>
        <v>147.97952262756075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60.797893565466438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60.797893565466438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6">
        <f t="shared" si="56"/>
        <v>393.25436784727196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249.0000000000002</v>
      </c>
      <c r="O95" s="13">
        <f>N95*VLOOKUP('Données projet'!$B$9,Paramètres!$A$1:$I$89,3,0)*VLOOKUP('Données projet'!$B$9,Paramètres!$A$1:$I$89,5,0)</f>
        <v>217.52640000000019</v>
      </c>
      <c r="P95" s="13">
        <f t="shared" si="87"/>
        <v>53.576907690651304</v>
      </c>
      <c r="Q95" s="20">
        <f t="shared" si="54"/>
        <v>472.17159422788467</v>
      </c>
      <c r="R95" s="59">
        <f t="shared" si="55"/>
        <v>765.50492756121798</v>
      </c>
      <c r="S95" s="59">
        <f ca="1">AVERAGE(OFFSET($R$3,0,0,'Données projet'!$E$9+1,1))-AVERAGE(OFFSET($H$3,0,0,'Données projet'!$E$9+1,1))</f>
        <v>253.73326067725128</v>
      </c>
      <c r="T95" s="59">
        <f t="shared" si="88"/>
        <v>317.76427047458026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40.394157121413599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40.394157121413599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732.99999999999966</v>
      </c>
      <c r="AJ95" s="13">
        <f>AI95*VLOOKUP('Données projet'!$B$10,Paramètres!$A$1:$I$89,3,0)*VLOOKUP('Données projet'!$B$10,Paramètres!$A$1:$I$89,5,0)</f>
        <v>352.57299999999987</v>
      </c>
      <c r="AK95" s="13">
        <f t="shared" si="89"/>
        <v>82.092092597941644</v>
      </c>
      <c r="AL95" s="20">
        <f t="shared" si="58"/>
        <v>757.04170294141477</v>
      </c>
      <c r="AM95" s="59">
        <f t="shared" si="59"/>
        <v>1050.375036274748</v>
      </c>
      <c r="AN95" s="59">
        <f ca="1">AVERAGE(OFFSET($AM$3,0,0,'Données projet'!$E$10+1,1))-AVERAGE(OFFSET($H$3,0,0,'Données projet'!$E$10+1,1))</f>
        <v>349.65790906807746</v>
      </c>
      <c r="AO95" s="59">
        <f t="shared" si="90"/>
        <v>291.88925884278888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99.749443851182619</v>
      </c>
      <c r="AV95" s="21">
        <f>EXP(-LN(2)/25)*AV94+(1-EXP(-LN(2)/25))/(LN(2)/25)*Calculateur!AQ95*Calculateur!AS95*VLOOKUP('Données projet'!$B$10,Paramètres!$A$1:$I$89,3,0)*0.475*44/12</f>
        <v>7.3837736785434105</v>
      </c>
      <c r="AW95" s="21">
        <f>EXP(-LN(2)/2)*AW94+(1-EXP(-LN(2)/2))/(LN(2)/2)*AQ95*AT95*VLOOKUP('Données projet'!$B$10,Paramètres!$A$1:$I$89,3,0)*0.475*44/12</f>
        <v>2.3775082159128084E-11</v>
      </c>
      <c r="AX95" s="21">
        <f t="shared" si="60"/>
        <v>107.1332175297498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319</v>
      </c>
      <c r="BE95" s="13">
        <f>BD95*VLOOKUP('Données projet'!$B$11,Paramètres!$A$1:$I$89,3,0)*VLOOKUP('Données projet'!$B$11,Paramètres!$A$1:$I$89,5,0)</f>
        <v>253.79640000000001</v>
      </c>
      <c r="BF95" s="13">
        <f t="shared" si="91"/>
        <v>61.39816832228076</v>
      </c>
      <c r="BG95" s="20">
        <f t="shared" si="61"/>
        <v>548.96387316130563</v>
      </c>
      <c r="BH95" s="59">
        <f t="shared" si="62"/>
        <v>842.29720649463889</v>
      </c>
      <c r="BI95" s="59">
        <f ca="1">AVERAGE(OFFSET($BH$3,0,0,'Données projet'!$E$11+1,1))-AVERAGE(OFFSET($H$3,0,0,'Données projet'!$E$11+1,1))</f>
        <v>279.49721661620544</v>
      </c>
      <c r="BJ95" s="59">
        <f t="shared" si="92"/>
        <v>275.18739333988754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41.921998767241035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41.921998767241035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266.99999999999983</v>
      </c>
      <c r="BZ95" s="13">
        <f>BY95*VLOOKUP('Données projet'!$B$12,Paramètres!$A$1:$I$89,3,0)*VLOOKUP('Données projet'!$B$12,Paramètres!$A$1:$I$89,5,0)</f>
        <v>258.24239999999986</v>
      </c>
      <c r="CA95" s="13">
        <f t="shared" si="93"/>
        <v>62.347580891234152</v>
      </c>
      <c r="CB95" s="20">
        <f t="shared" si="64"/>
        <v>558.3608833855659</v>
      </c>
      <c r="CC95" s="59">
        <f t="shared" si="65"/>
        <v>851.69421671889927</v>
      </c>
      <c r="CD95" s="59">
        <f ca="1">AVERAGE(OFFSET($CC$3,0,0,'Données projet'!$E$12+1,1))-AVERAGE(OFFSET($H$3,0,0,'Données projet'!$E$12+1,1))</f>
        <v>281.84871057356037</v>
      </c>
      <c r="CE95" s="59">
        <f t="shared" si="94"/>
        <v>276.02211904126887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33.741252804311024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33.741252804311024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319</v>
      </c>
      <c r="CU95" s="17">
        <f>CT95*VLOOKUP('Données projet'!$B$13,Paramètres!$A$1:$I$89,3,0)*VLOOKUP('Données projet'!$B$13,Paramètres!$A$1:$I$89,5,0)</f>
        <v>253.79640000000001</v>
      </c>
      <c r="CV95" s="13">
        <f t="shared" si="95"/>
        <v>61.39816832228076</v>
      </c>
      <c r="CW95" s="20">
        <f t="shared" si="67"/>
        <v>548.96387316130563</v>
      </c>
      <c r="CX95" s="59">
        <f t="shared" si="68"/>
        <v>842.29720649463889</v>
      </c>
      <c r="CY95" s="59">
        <f ca="1">AVERAGE(OFFSET($CX$3,0,0,'Données projet'!$E$13+1,1))-AVERAGE(OFFSET($H$3,0,0,'Données projet'!$E$13+1,1))</f>
        <v>279.49721661620544</v>
      </c>
      <c r="CZ95" s="59">
        <f t="shared" si="96"/>
        <v>275.18739333988754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41.921998767241035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41.921998767241035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5</v>
      </c>
      <c r="DO95" s="12">
        <f>IF('Données projet'!$A$166&gt;35,DO94+DN95-DW94,IF(A95&lt;'Données projet'!$A$166,$DL$205^A95,IF(A95='Données projet'!$A$166,'Données projet'!$B$166,DO94+DN95-DW94)))</f>
        <v>263.99999999999983</v>
      </c>
      <c r="DP95" s="17">
        <f>DO95*VLOOKUP('Données projet'!$B$14,Paramètres!$A$1:$I$89,3,0)*VLOOKUP('Données projet'!$B$14,Paramètres!$A$1:$I$89,5,0)</f>
        <v>267.69599999999986</v>
      </c>
      <c r="DQ95" s="13">
        <f t="shared" si="97"/>
        <v>64.360058723585439</v>
      </c>
      <c r="DR95" s="20">
        <f t="shared" si="70"/>
        <v>578.33096894357766</v>
      </c>
      <c r="DS95" s="59">
        <f t="shared" si="71"/>
        <v>871.66430227691103</v>
      </c>
      <c r="DT95" s="59">
        <f ca="1">AVERAGE(OFFSET($DS$3,0,0,'Données projet'!$E$14+1,1))-AVERAGE(OFFSET($H$3,0,0,'Données projet'!$E$14+1,1))</f>
        <v>308.80022073574963</v>
      </c>
      <c r="DU95" s="59">
        <f t="shared" si="98"/>
        <v>183.96267407004115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71.7475825392698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71.7475825392698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266.99999999999983</v>
      </c>
      <c r="EK95" s="17">
        <f>EJ95*VLOOKUP('Données projet'!$B$15,Paramètres!$A$1:$I$89,3,0)*VLOOKUP('Données projet'!$B$15,Paramètres!$A$1:$I$89,5,0)</f>
        <v>174.93839999999989</v>
      </c>
      <c r="EL95" s="13">
        <f t="shared" si="99"/>
        <v>44.194210865203175</v>
      </c>
      <c r="EM95" s="20">
        <f t="shared" si="73"/>
        <v>381.65596392356196</v>
      </c>
      <c r="EN95" s="59">
        <f t="shared" si="74"/>
        <v>674.98929725689527</v>
      </c>
      <c r="EO95" s="59">
        <f ca="1">AVERAGE(OFFSET($EN$3,0,0,'Données projet'!$E$15+1,1))-AVERAGE(OFFSET($H$3,0,0,'Données projet'!$E$15+1,1))</f>
        <v>178.71569711875242</v>
      </c>
      <c r="EP95" s="59">
        <f t="shared" si="100"/>
        <v>178.13848582064168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22.856977706146182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22.856977706146182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5</v>
      </c>
      <c r="FE95" s="12">
        <f>IF('Données projet'!$A$218&gt;35,FE94+FD95-FM94,IF(A95&lt;'Données projet'!$A$218,$FB$205^A95,IF(A95='Données projet'!$A$218,'Données projet'!$B$218,FE94+FD95-FM94)))</f>
        <v>263.99999999999983</v>
      </c>
      <c r="FF95" s="17">
        <f>FE95*VLOOKUP('Données projet'!$B$16,Paramètres!$A$1:$I$89,3,0)*VLOOKUP('Données projet'!$B$16,Paramètres!$A$1:$I$89,5,0)</f>
        <v>222.39359999999988</v>
      </c>
      <c r="FG95" s="13">
        <f t="shared" si="101"/>
        <v>54.634794757949237</v>
      </c>
      <c r="FH95" s="20">
        <f t="shared" si="76"/>
        <v>482.49112087009468</v>
      </c>
      <c r="FI95" s="59">
        <f t="shared" si="77"/>
        <v>775.82445420342799</v>
      </c>
      <c r="FJ95" s="59">
        <f ca="1">AVERAGE(OFFSET($FI$3,0,0,'Données projet'!$E$16+1,1))-AVERAGE(OFFSET($H$3,0,0,'Données projet'!$E$16+1,1))</f>
        <v>247.22536892257716</v>
      </c>
      <c r="FK95" s="59">
        <f t="shared" si="102"/>
        <v>147.97952262756075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59.605683955701068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59.605683955701068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6">
        <f t="shared" si="56"/>
        <v>394.311419081606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249.0000000000002</v>
      </c>
      <c r="O96" s="13">
        <f>N96*VLOOKUP('Données projet'!$B$9,Paramètres!$A$1:$I$89,3,0)*VLOOKUP('Données projet'!$B$9,Paramètres!$A$1:$I$89,5,0)</f>
        <v>217.52640000000019</v>
      </c>
      <c r="P96" s="13">
        <f t="shared" si="87"/>
        <v>53.576907690651304</v>
      </c>
      <c r="Q96" s="20">
        <f t="shared" si="54"/>
        <v>472.17159422788467</v>
      </c>
      <c r="R96" s="59">
        <f t="shared" si="55"/>
        <v>765.50492756121798</v>
      </c>
      <c r="S96" s="59">
        <f ca="1">AVERAGE(OFFSET($R$3,0,0,'Données projet'!$E$9+1,1))-AVERAGE(OFFSET($H$3,0,0,'Données projet'!$E$9+1,1))</f>
        <v>253.73326067725128</v>
      </c>
      <c r="T96" s="59">
        <f t="shared" si="88"/>
        <v>317.76427047458026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39.602052338265722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39.602052338265722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732.99999999999966</v>
      </c>
      <c r="AJ96" s="13">
        <f>AI96*VLOOKUP('Données projet'!$B$10,Paramètres!$A$1:$I$89,3,0)*VLOOKUP('Données projet'!$B$10,Paramètres!$A$1:$I$89,5,0)</f>
        <v>352.57299999999987</v>
      </c>
      <c r="AK96" s="13">
        <f t="shared" si="89"/>
        <v>82.092092597941644</v>
      </c>
      <c r="AL96" s="20">
        <f t="shared" si="58"/>
        <v>757.04170294141477</v>
      </c>
      <c r="AM96" s="59">
        <f t="shared" si="59"/>
        <v>1050.375036274748</v>
      </c>
      <c r="AN96" s="59">
        <f ca="1">AVERAGE(OFFSET($AM$3,0,0,'Données projet'!$E$10+1,1))-AVERAGE(OFFSET($H$3,0,0,'Données projet'!$E$10+1,1))</f>
        <v>349.65790906807746</v>
      </c>
      <c r="AO96" s="59">
        <f t="shared" si="90"/>
        <v>291.88925884278888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97.793418098414108</v>
      </c>
      <c r="AV96" s="21">
        <f>EXP(-LN(2)/25)*AV95+(1-EXP(-LN(2)/25))/(LN(2)/25)*Calculateur!AQ96*Calculateur!AS96*VLOOKUP('Données projet'!$B$10,Paramètres!$A$1:$I$89,3,0)*0.475*44/12</f>
        <v>7.1818639990078594</v>
      </c>
      <c r="AW96" s="21">
        <f>EXP(-LN(2)/2)*AW95+(1-EXP(-LN(2)/2))/(LN(2)/2)*AQ96*AT96*VLOOKUP('Données projet'!$B$10,Paramètres!$A$1:$I$89,3,0)*0.475*44/12</f>
        <v>1.6811521817986772E-11</v>
      </c>
      <c r="AX96" s="21">
        <f t="shared" si="60"/>
        <v>104.97528209743878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319</v>
      </c>
      <c r="BE96" s="13">
        <f>BD96*VLOOKUP('Données projet'!$B$11,Paramètres!$A$1:$I$89,3,0)*VLOOKUP('Données projet'!$B$11,Paramètres!$A$1:$I$89,5,0)</f>
        <v>253.79640000000001</v>
      </c>
      <c r="BF96" s="13">
        <f t="shared" si="91"/>
        <v>61.39816832228076</v>
      </c>
      <c r="BG96" s="20">
        <f t="shared" si="61"/>
        <v>548.96387316130563</v>
      </c>
      <c r="BH96" s="59">
        <f t="shared" si="62"/>
        <v>842.29720649463889</v>
      </c>
      <c r="BI96" s="59">
        <f ca="1">AVERAGE(OFFSET($BH$3,0,0,'Données projet'!$E$11+1,1))-AVERAGE(OFFSET($H$3,0,0,'Données projet'!$E$11+1,1))</f>
        <v>279.49721661620544</v>
      </c>
      <c r="BJ96" s="59">
        <f t="shared" si="92"/>
        <v>275.18739333988754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41.099933941309871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41.099933941309871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266.99999999999983</v>
      </c>
      <c r="BZ96" s="13">
        <f>BY96*VLOOKUP('Données projet'!$B$12,Paramètres!$A$1:$I$89,3,0)*VLOOKUP('Données projet'!$B$12,Paramètres!$A$1:$I$89,5,0)</f>
        <v>258.24239999999986</v>
      </c>
      <c r="CA96" s="13">
        <f t="shared" si="93"/>
        <v>62.347580891234152</v>
      </c>
      <c r="CB96" s="20">
        <f t="shared" si="64"/>
        <v>558.3608833855659</v>
      </c>
      <c r="CC96" s="59">
        <f t="shared" si="65"/>
        <v>851.69421671889927</v>
      </c>
      <c r="CD96" s="59">
        <f ca="1">AVERAGE(OFFSET($CC$3,0,0,'Données projet'!$E$12+1,1))-AVERAGE(OFFSET($H$3,0,0,'Données projet'!$E$12+1,1))</f>
        <v>281.84871057356037</v>
      </c>
      <c r="CE96" s="59">
        <f t="shared" si="94"/>
        <v>276.02211904126887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33.079607416950573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33.079607416950573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319</v>
      </c>
      <c r="CU96" s="17">
        <f>CT96*VLOOKUP('Données projet'!$B$13,Paramètres!$A$1:$I$89,3,0)*VLOOKUP('Données projet'!$B$13,Paramètres!$A$1:$I$89,5,0)</f>
        <v>253.79640000000001</v>
      </c>
      <c r="CV96" s="13">
        <f t="shared" si="95"/>
        <v>61.39816832228076</v>
      </c>
      <c r="CW96" s="20">
        <f t="shared" si="67"/>
        <v>548.96387316130563</v>
      </c>
      <c r="CX96" s="59">
        <f t="shared" si="68"/>
        <v>842.29720649463889</v>
      </c>
      <c r="CY96" s="59">
        <f ca="1">AVERAGE(OFFSET($CX$3,0,0,'Données projet'!$E$13+1,1))-AVERAGE(OFFSET($H$3,0,0,'Données projet'!$E$13+1,1))</f>
        <v>279.49721661620544</v>
      </c>
      <c r="CZ96" s="59">
        <f t="shared" si="96"/>
        <v>275.18739333988754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41.099933941309871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41.099933941309871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5</v>
      </c>
      <c r="DO96" s="12">
        <f>IF('Données projet'!$A$166&gt;35,DO95+DN96-DW95,IF(A96&lt;'Données projet'!$A$166,$DL$205^A96,IF(A96='Données projet'!$A$166,'Données projet'!$B$166,DO95+DN96-DW95)))</f>
        <v>268.99999999999983</v>
      </c>
      <c r="DP96" s="17">
        <f>DO96*VLOOKUP('Données projet'!$B$14,Paramètres!$A$1:$I$89,3,0)*VLOOKUP('Données projet'!$B$14,Paramètres!$A$1:$I$89,5,0)</f>
        <v>272.76599999999985</v>
      </c>
      <c r="DQ96" s="13">
        <f t="shared" si="97"/>
        <v>65.43593563008757</v>
      </c>
      <c r="DR96" s="20">
        <f t="shared" si="70"/>
        <v>589.03503788906892</v>
      </c>
      <c r="DS96" s="59">
        <f t="shared" si="71"/>
        <v>882.36837122240217</v>
      </c>
      <c r="DT96" s="59">
        <f ca="1">AVERAGE(OFFSET($DS$3,0,0,'Données projet'!$E$14+1,1))-AVERAGE(OFFSET($H$3,0,0,'Données projet'!$E$14+1,1))</f>
        <v>308.80022073574963</v>
      </c>
      <c r="DU96" s="59">
        <f t="shared" si="98"/>
        <v>183.96267407004115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70.340656207378956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70.340656207378956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266.99999999999983</v>
      </c>
      <c r="EK96" s="17">
        <f>EJ96*VLOOKUP('Données projet'!$B$15,Paramètres!$A$1:$I$89,3,0)*VLOOKUP('Données projet'!$B$15,Paramètres!$A$1:$I$89,5,0)</f>
        <v>174.93839999999989</v>
      </c>
      <c r="EL96" s="13">
        <f t="shared" si="99"/>
        <v>44.194210865203175</v>
      </c>
      <c r="EM96" s="20">
        <f t="shared" si="73"/>
        <v>381.65596392356196</v>
      </c>
      <c r="EN96" s="59">
        <f t="shared" si="74"/>
        <v>674.98929725689527</v>
      </c>
      <c r="EO96" s="59">
        <f ca="1">AVERAGE(OFFSET($EN$3,0,0,'Données projet'!$E$15+1,1))-AVERAGE(OFFSET($H$3,0,0,'Données projet'!$E$15+1,1))</f>
        <v>178.71569711875242</v>
      </c>
      <c r="EP96" s="59">
        <f t="shared" si="100"/>
        <v>178.13848582064168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22.408766314708458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22.408766314708458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5</v>
      </c>
      <c r="FE96" s="12">
        <f>IF('Données projet'!$A$218&gt;35,FE95+FD96-FM95,IF(A96&lt;'Données projet'!$A$218,$FB$205^A96,IF(A96='Données projet'!$A$218,'Données projet'!$B$218,FE95+FD96-FM95)))</f>
        <v>268.99999999999983</v>
      </c>
      <c r="FF96" s="17">
        <f>FE96*VLOOKUP('Données projet'!$B$16,Paramètres!$A$1:$I$89,3,0)*VLOOKUP('Données projet'!$B$16,Paramètres!$A$1:$I$89,5,0)</f>
        <v>226.60559999999987</v>
      </c>
      <c r="FG96" s="13">
        <f t="shared" si="101"/>
        <v>55.548098989444924</v>
      </c>
      <c r="FH96" s="20">
        <f t="shared" si="76"/>
        <v>491.41769240661642</v>
      </c>
      <c r="FI96" s="59">
        <f t="shared" si="77"/>
        <v>784.75102573994968</v>
      </c>
      <c r="FJ96" s="59">
        <f ca="1">AVERAGE(OFFSET($FI$3,0,0,'Données projet'!$E$16+1,1))-AVERAGE(OFFSET($H$3,0,0,'Données projet'!$E$16+1,1))</f>
        <v>247.22536892257716</v>
      </c>
      <c r="FK96" s="59">
        <f t="shared" si="102"/>
        <v>147.97952262756075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58.436852849207135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58.436852849207135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6">
        <f t="shared" si="56"/>
        <v>395.36819599137124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249.0000000000002</v>
      </c>
      <c r="O97" s="13">
        <f>N97*VLOOKUP('Données projet'!$B$9,Paramètres!$A$1:$I$89,3,0)*VLOOKUP('Données projet'!$B$9,Paramètres!$A$1:$I$89,5,0)</f>
        <v>217.52640000000019</v>
      </c>
      <c r="P97" s="13">
        <f t="shared" si="87"/>
        <v>53.576907690651304</v>
      </c>
      <c r="Q97" s="20">
        <f t="shared" si="54"/>
        <v>472.17159422788467</v>
      </c>
      <c r="R97" s="59">
        <f t="shared" si="55"/>
        <v>765.50492756121798</v>
      </c>
      <c r="S97" s="59">
        <f ca="1">AVERAGE(OFFSET($R$3,0,0,'Données projet'!$E$9+1,1))-AVERAGE(OFFSET($H$3,0,0,'Données projet'!$E$9+1,1))</f>
        <v>253.73326067725128</v>
      </c>
      <c r="T97" s="59">
        <f t="shared" si="88"/>
        <v>317.76427047458026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38.825480246779165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38.825480246779165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732.99999999999966</v>
      </c>
      <c r="AJ97" s="13">
        <f>AI97*VLOOKUP('Données projet'!$B$10,Paramètres!$A$1:$I$89,3,0)*VLOOKUP('Données projet'!$B$10,Paramètres!$A$1:$I$89,5,0)</f>
        <v>352.57299999999987</v>
      </c>
      <c r="AK97" s="13">
        <f t="shared" si="89"/>
        <v>82.092092597941644</v>
      </c>
      <c r="AL97" s="20">
        <f t="shared" si="58"/>
        <v>757.04170294141477</v>
      </c>
      <c r="AM97" s="59">
        <f t="shared" si="59"/>
        <v>1050.375036274748</v>
      </c>
      <c r="AN97" s="59">
        <f ca="1">AVERAGE(OFFSET($AM$3,0,0,'Données projet'!$E$10+1,1))-AVERAGE(OFFSET($H$3,0,0,'Données projet'!$E$10+1,1))</f>
        <v>349.65790906807746</v>
      </c>
      <c r="AO97" s="59">
        <f t="shared" si="90"/>
        <v>291.88925884278888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95.875748817599487</v>
      </c>
      <c r="AV97" s="21">
        <f>EXP(-LN(2)/25)*AV96+(1-EXP(-LN(2)/25))/(LN(2)/25)*Calculateur!AQ97*Calculateur!AS97*VLOOKUP('Données projet'!$B$10,Paramètres!$A$1:$I$89,3,0)*0.475*44/12</f>
        <v>6.9854755502771759</v>
      </c>
      <c r="AW97" s="21">
        <f>EXP(-LN(2)/2)*AW96+(1-EXP(-LN(2)/2))/(LN(2)/2)*AQ97*AT97*VLOOKUP('Données projet'!$B$10,Paramètres!$A$1:$I$89,3,0)*0.475*44/12</f>
        <v>1.1887541079564042E-11</v>
      </c>
      <c r="AX97" s="21">
        <f t="shared" si="60"/>
        <v>102.86122436788855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319</v>
      </c>
      <c r="BE97" s="13">
        <f>BD97*VLOOKUP('Données projet'!$B$11,Paramètres!$A$1:$I$89,3,0)*VLOOKUP('Données projet'!$B$11,Paramètres!$A$1:$I$89,5,0)</f>
        <v>253.79640000000001</v>
      </c>
      <c r="BF97" s="13">
        <f t="shared" si="91"/>
        <v>61.39816832228076</v>
      </c>
      <c r="BG97" s="20">
        <f t="shared" si="61"/>
        <v>548.96387316130563</v>
      </c>
      <c r="BH97" s="59">
        <f t="shared" si="62"/>
        <v>842.29720649463889</v>
      </c>
      <c r="BI97" s="59">
        <f ca="1">AVERAGE(OFFSET($BH$3,0,0,'Données projet'!$E$11+1,1))-AVERAGE(OFFSET($H$3,0,0,'Données projet'!$E$11+1,1))</f>
        <v>279.49721661620544</v>
      </c>
      <c r="BJ97" s="59">
        <f t="shared" si="92"/>
        <v>275.18739333988754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40.29398930520518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40.29398930520518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266.99999999999983</v>
      </c>
      <c r="BZ97" s="13">
        <f>BY97*VLOOKUP('Données projet'!$B$12,Paramètres!$A$1:$I$89,3,0)*VLOOKUP('Données projet'!$B$12,Paramètres!$A$1:$I$89,5,0)</f>
        <v>258.24239999999986</v>
      </c>
      <c r="CA97" s="13">
        <f t="shared" si="93"/>
        <v>62.347580891234152</v>
      </c>
      <c r="CB97" s="20">
        <f t="shared" si="64"/>
        <v>558.3608833855659</v>
      </c>
      <c r="CC97" s="59">
        <f t="shared" si="65"/>
        <v>851.69421671889927</v>
      </c>
      <c r="CD97" s="59">
        <f ca="1">AVERAGE(OFFSET($CC$3,0,0,'Données projet'!$E$12+1,1))-AVERAGE(OFFSET($H$3,0,0,'Données projet'!$E$12+1,1))</f>
        <v>281.84871057356037</v>
      </c>
      <c r="CE97" s="59">
        <f t="shared" si="94"/>
        <v>276.02211904126887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32.430936492072426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32.430936492072426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319</v>
      </c>
      <c r="CU97" s="17">
        <f>CT97*VLOOKUP('Données projet'!$B$13,Paramètres!$A$1:$I$89,3,0)*VLOOKUP('Données projet'!$B$13,Paramètres!$A$1:$I$89,5,0)</f>
        <v>253.79640000000001</v>
      </c>
      <c r="CV97" s="13">
        <f t="shared" si="95"/>
        <v>61.39816832228076</v>
      </c>
      <c r="CW97" s="20">
        <f t="shared" si="67"/>
        <v>548.96387316130563</v>
      </c>
      <c r="CX97" s="59">
        <f t="shared" si="68"/>
        <v>842.29720649463889</v>
      </c>
      <c r="CY97" s="59">
        <f ca="1">AVERAGE(OFFSET($CX$3,0,0,'Données projet'!$E$13+1,1))-AVERAGE(OFFSET($H$3,0,0,'Données projet'!$E$13+1,1))</f>
        <v>279.49721661620544</v>
      </c>
      <c r="CZ97" s="59">
        <f t="shared" si="96"/>
        <v>275.18739333988754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40.29398930520518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40.29398930520518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5</v>
      </c>
      <c r="DO97" s="12">
        <f>IF('Données projet'!$A$166&gt;35,DO96+DN97-DW96,IF(A97&lt;'Données projet'!$A$166,$DL$205^A97,IF(A97='Données projet'!$A$166,'Données projet'!$B$166,DO96+DN97-DW96)))</f>
        <v>273.99999999999983</v>
      </c>
      <c r="DP97" s="17">
        <f>DO97*VLOOKUP('Données projet'!$B$14,Paramètres!$A$1:$I$89,3,0)*VLOOKUP('Données projet'!$B$14,Paramètres!$A$1:$I$89,5,0)</f>
        <v>277.83599999999984</v>
      </c>
      <c r="DQ97" s="13">
        <f t="shared" si="97"/>
        <v>66.509487177652261</v>
      </c>
      <c r="DR97" s="20">
        <f t="shared" si="70"/>
        <v>599.73505683441078</v>
      </c>
      <c r="DS97" s="59">
        <f t="shared" si="71"/>
        <v>893.06839016774416</v>
      </c>
      <c r="DT97" s="59">
        <f ca="1">AVERAGE(OFFSET($DS$3,0,0,'Données projet'!$E$14+1,1))-AVERAGE(OFFSET($H$3,0,0,'Données projet'!$E$14+1,1))</f>
        <v>308.80022073574963</v>
      </c>
      <c r="DU97" s="59">
        <f t="shared" si="98"/>
        <v>183.96267407004115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68.961318842716167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68.961318842716167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266.99999999999983</v>
      </c>
      <c r="EK97" s="17">
        <f>EJ97*VLOOKUP('Données projet'!$B$15,Paramètres!$A$1:$I$89,3,0)*VLOOKUP('Données projet'!$B$15,Paramètres!$A$1:$I$89,5,0)</f>
        <v>174.93839999999989</v>
      </c>
      <c r="EL97" s="13">
        <f t="shared" si="99"/>
        <v>44.194210865203175</v>
      </c>
      <c r="EM97" s="20">
        <f t="shared" si="73"/>
        <v>381.65596392356196</v>
      </c>
      <c r="EN97" s="59">
        <f t="shared" si="74"/>
        <v>674.98929725689527</v>
      </c>
      <c r="EO97" s="59">
        <f ca="1">AVERAGE(OFFSET($EN$3,0,0,'Données projet'!$E$15+1,1))-AVERAGE(OFFSET($H$3,0,0,'Données projet'!$E$15+1,1))</f>
        <v>178.71569711875242</v>
      </c>
      <c r="EP97" s="59">
        <f t="shared" si="100"/>
        <v>178.13848582064168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21.969344075274876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21.969344075274876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5</v>
      </c>
      <c r="FE97" s="12">
        <f>IF('Données projet'!$A$218&gt;35,FE96+FD97-FM96,IF(A97&lt;'Données projet'!$A$218,$FB$205^A97,IF(A97='Données projet'!$A$218,'Données projet'!$B$218,FE96+FD97-FM96)))</f>
        <v>273.99999999999983</v>
      </c>
      <c r="FF97" s="17">
        <f>FE97*VLOOKUP('Données projet'!$B$16,Paramètres!$A$1:$I$89,3,0)*VLOOKUP('Données projet'!$B$16,Paramètres!$A$1:$I$89,5,0)</f>
        <v>230.81759999999989</v>
      </c>
      <c r="FG97" s="13">
        <f t="shared" si="101"/>
        <v>56.459429240325889</v>
      </c>
      <c r="FH97" s="20">
        <f t="shared" si="76"/>
        <v>500.34082592690061</v>
      </c>
      <c r="FI97" s="59">
        <f t="shared" si="77"/>
        <v>793.67415926023386</v>
      </c>
      <c r="FJ97" s="59">
        <f ca="1">AVERAGE(OFFSET($FI$3,0,0,'Données projet'!$E$16+1,1))-AVERAGE(OFFSET($H$3,0,0,'Données projet'!$E$16+1,1))</f>
        <v>247.22536892257716</v>
      </c>
      <c r="FK97" s="59">
        <f t="shared" si="102"/>
        <v>147.97952262756075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57.290941807794972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57.290941807794972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6">
        <f t="shared" si="56"/>
        <v>396.42470183271661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249.0000000000002</v>
      </c>
      <c r="O98" s="13">
        <f>N98*VLOOKUP('Données projet'!$B$9,Paramètres!$A$1:$I$89,3,0)*VLOOKUP('Données projet'!$B$9,Paramètres!$A$1:$I$89,5,0)</f>
        <v>217.52640000000019</v>
      </c>
      <c r="P98" s="13">
        <f t="shared" si="87"/>
        <v>53.576907690651304</v>
      </c>
      <c r="Q98" s="20">
        <f t="shared" si="54"/>
        <v>472.17159422788467</v>
      </c>
      <c r="R98" s="59">
        <f t="shared" si="55"/>
        <v>765.50492756121798</v>
      </c>
      <c r="S98" s="59">
        <f ca="1">AVERAGE(OFFSET($R$3,0,0,'Données projet'!$E$9+1,1))-AVERAGE(OFFSET($H$3,0,0,'Données projet'!$E$9+1,1))</f>
        <v>253.73326067725128</v>
      </c>
      <c r="T98" s="59">
        <f t="shared" si="88"/>
        <v>317.76427047458026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38.064136260344448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38.064136260344448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732.99999999999966</v>
      </c>
      <c r="AJ98" s="13">
        <f>AI98*VLOOKUP('Données projet'!$B$10,Paramètres!$A$1:$I$89,3,0)*VLOOKUP('Données projet'!$B$10,Paramètres!$A$1:$I$89,5,0)</f>
        <v>352.57299999999987</v>
      </c>
      <c r="AK98" s="13">
        <f t="shared" si="89"/>
        <v>82.092092597941644</v>
      </c>
      <c r="AL98" s="20">
        <f t="shared" si="58"/>
        <v>757.04170294141477</v>
      </c>
      <c r="AM98" s="59">
        <f t="shared" si="59"/>
        <v>1050.375036274748</v>
      </c>
      <c r="AN98" s="59">
        <f ca="1">AVERAGE(OFFSET($AM$3,0,0,'Données projet'!$E$10+1,1))-AVERAGE(OFFSET($H$3,0,0,'Données projet'!$E$10+1,1))</f>
        <v>349.65790906807746</v>
      </c>
      <c r="AO98" s="59">
        <f t="shared" si="90"/>
        <v>291.88925884278888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93.995683861718874</v>
      </c>
      <c r="AV98" s="21">
        <f>EXP(-LN(2)/25)*AV97+(1-EXP(-LN(2)/25))/(LN(2)/25)*Calculateur!AQ98*Calculateur!AS98*VLOOKUP('Données projet'!$B$10,Paramètres!$A$1:$I$89,3,0)*0.475*44/12</f>
        <v>6.7944573540046527</v>
      </c>
      <c r="AW98" s="21">
        <f>EXP(-LN(2)/2)*AW97+(1-EXP(-LN(2)/2))/(LN(2)/2)*AQ98*AT98*VLOOKUP('Données projet'!$B$10,Paramètres!$A$1:$I$89,3,0)*0.475*44/12</f>
        <v>8.4057609089933859E-12</v>
      </c>
      <c r="AX98" s="21">
        <f t="shared" si="60"/>
        <v>100.79014121573194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319</v>
      </c>
      <c r="BE98" s="13">
        <f>BD98*VLOOKUP('Données projet'!$B$11,Paramètres!$A$1:$I$89,3,0)*VLOOKUP('Données projet'!$B$11,Paramètres!$A$1:$I$89,5,0)</f>
        <v>253.79640000000001</v>
      </c>
      <c r="BF98" s="13">
        <f t="shared" si="91"/>
        <v>61.39816832228076</v>
      </c>
      <c r="BG98" s="20">
        <f t="shared" si="61"/>
        <v>548.96387316130563</v>
      </c>
      <c r="BH98" s="59">
        <f t="shared" si="62"/>
        <v>842.29720649463889</v>
      </c>
      <c r="BI98" s="59">
        <f ca="1">AVERAGE(OFFSET($BH$3,0,0,'Données projet'!$E$11+1,1))-AVERAGE(OFFSET($H$3,0,0,'Données projet'!$E$11+1,1))</f>
        <v>279.49721661620544</v>
      </c>
      <c r="BJ98" s="59">
        <f t="shared" si="92"/>
        <v>275.18739333988754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39.503848751836813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39.503848751836813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266.99999999999983</v>
      </c>
      <c r="BZ98" s="13">
        <f>BY98*VLOOKUP('Données projet'!$B$12,Paramètres!$A$1:$I$89,3,0)*VLOOKUP('Données projet'!$B$12,Paramètres!$A$1:$I$89,5,0)</f>
        <v>258.24239999999986</v>
      </c>
      <c r="CA98" s="13">
        <f t="shared" si="93"/>
        <v>62.347580891234152</v>
      </c>
      <c r="CB98" s="20">
        <f t="shared" si="64"/>
        <v>558.3608833855659</v>
      </c>
      <c r="CC98" s="59">
        <f t="shared" si="65"/>
        <v>851.69421671889927</v>
      </c>
      <c r="CD98" s="59">
        <f ca="1">AVERAGE(OFFSET($CC$3,0,0,'Données projet'!$E$12+1,1))-AVERAGE(OFFSET($H$3,0,0,'Données projet'!$E$12+1,1))</f>
        <v>281.84871057356037</v>
      </c>
      <c r="CE98" s="59">
        <f t="shared" si="94"/>
        <v>276.02211904126887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31.794985608380944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31.794985608380944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319</v>
      </c>
      <c r="CU98" s="17">
        <f>CT98*VLOOKUP('Données projet'!$B$13,Paramètres!$A$1:$I$89,3,0)*VLOOKUP('Données projet'!$B$13,Paramètres!$A$1:$I$89,5,0)</f>
        <v>253.79640000000001</v>
      </c>
      <c r="CV98" s="13">
        <f t="shared" si="95"/>
        <v>61.39816832228076</v>
      </c>
      <c r="CW98" s="20">
        <f t="shared" si="67"/>
        <v>548.96387316130563</v>
      </c>
      <c r="CX98" s="59">
        <f t="shared" si="68"/>
        <v>842.29720649463889</v>
      </c>
      <c r="CY98" s="59">
        <f ca="1">AVERAGE(OFFSET($CX$3,0,0,'Données projet'!$E$13+1,1))-AVERAGE(OFFSET($H$3,0,0,'Données projet'!$E$13+1,1))</f>
        <v>279.49721661620544</v>
      </c>
      <c r="CZ98" s="59">
        <f t="shared" si="96"/>
        <v>275.18739333988754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39.503848751836813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39.503848751836813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>
        <f>VLOOKUP(A98,'Données projet'!$A$165:$I$185,2,0)</f>
        <v>279</v>
      </c>
      <c r="DM98" s="12">
        <f>VLOOKUP(A98,'Données projet'!$A$165:$I$185,9,0)</f>
        <v>5</v>
      </c>
      <c r="DN98" s="12">
        <f t="array" ref="DN98">INDEX(DM:DM,MIN(IF(ISNUMBER(DM98:DM294),ROW(DM98:DM294),"")))</f>
        <v>5</v>
      </c>
      <c r="DO98" s="12">
        <f>IF('Données projet'!$A$166&gt;35,DO97+DN98-DW97,IF(A98&lt;'Données projet'!$A$166,$DL$205^A98,IF(A98='Données projet'!$A$166,'Données projet'!$B$166,DO97+DN98-DW97)))</f>
        <v>278.99999999999983</v>
      </c>
      <c r="DP98" s="17">
        <f>DO98*VLOOKUP('Données projet'!$B$14,Paramètres!$A$1:$I$89,3,0)*VLOOKUP('Données projet'!$B$14,Paramètres!$A$1:$I$89,5,0)</f>
        <v>282.90599999999989</v>
      </c>
      <c r="DQ98" s="13">
        <f t="shared" si="97"/>
        <v>67.580760694123455</v>
      </c>
      <c r="DR98" s="20">
        <f t="shared" si="70"/>
        <v>610.43110820893151</v>
      </c>
      <c r="DS98" s="59">
        <f t="shared" si="71"/>
        <v>903.76444154226488</v>
      </c>
      <c r="DT98" s="59">
        <f ca="1">AVERAGE(OFFSET($DS$3,0,0,'Données projet'!$E$14+1,1))-AVERAGE(OFFSET($H$3,0,0,'Données projet'!$E$14+1,1))</f>
        <v>308.80022073574963</v>
      </c>
      <c r="DU98" s="59">
        <f t="shared" si="98"/>
        <v>183.96267407004115</v>
      </c>
      <c r="DV98" s="15">
        <f>IF(ISNA(VLOOKUP(A98,'Données projet'!$A$165:$I$185,3,0)),0,VLOOKUP(A98,'Données projet'!$A$165:$I$185,3,0))</f>
        <v>15</v>
      </c>
      <c r="DW98" s="15">
        <f>IF(ISNA(VLOOKUP(A98,'Données projet'!$A$165:$I$185,4,0)),0,VLOOKUP(A98,'Données projet'!$A$165:$I$185,4,0))</f>
        <v>21</v>
      </c>
      <c r="DX98" s="16">
        <f>IF(ISNA(VLOOKUP(A98,'Données projet'!$A$165:$I$185,5,0)),0%,VLOOKUP(A98,'Données projet'!$A$165:$I$185,5,0)*VLOOKUP('Données projet'!$B$14,Paramètres!$A$1:$I$89,7,0))</f>
        <v>0.43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77.731180535024791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77.731180535024791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266.99999999999983</v>
      </c>
      <c r="EK98" s="17">
        <f>EJ98*VLOOKUP('Données projet'!$B$15,Paramètres!$A$1:$I$89,3,0)*VLOOKUP('Données projet'!$B$15,Paramètres!$A$1:$I$89,5,0)</f>
        <v>174.93839999999989</v>
      </c>
      <c r="EL98" s="13">
        <f t="shared" si="99"/>
        <v>44.194210865203175</v>
      </c>
      <c r="EM98" s="20">
        <f t="shared" si="73"/>
        <v>381.65596392356196</v>
      </c>
      <c r="EN98" s="59">
        <f t="shared" si="74"/>
        <v>674.98929725689527</v>
      </c>
      <c r="EO98" s="59">
        <f ca="1">AVERAGE(OFFSET($EN$3,0,0,'Données projet'!$E$15+1,1))-AVERAGE(OFFSET($H$3,0,0,'Données projet'!$E$15+1,1))</f>
        <v>178.71569711875242</v>
      </c>
      <c r="EP98" s="59">
        <f t="shared" si="100"/>
        <v>178.13848582064168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21.538538637935485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21.538538637935485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>
        <f>VLOOKUP(A98,'Données projet'!$A$217:$I$237,2,0)</f>
        <v>279</v>
      </c>
      <c r="FC98" s="12">
        <f>VLOOKUP(A98,'Données projet'!$A$217:$I$237,9,0)</f>
        <v>5</v>
      </c>
      <c r="FD98" s="12">
        <f t="array" ref="FD98">INDEX(FC:FC,MIN(IF(ISNUMBER(FC98:FC294),ROW(FC98:FC294),"")))</f>
        <v>5</v>
      </c>
      <c r="FE98" s="12">
        <f>IF('Données projet'!$A$218&gt;35,FE97+FD98-FM97,IF(A98&lt;'Données projet'!$A$218,$FB$205^A98,IF(A98='Données projet'!$A$218,'Données projet'!$B$218,FE97+FD98-FM97)))</f>
        <v>278.99999999999983</v>
      </c>
      <c r="FF98" s="17">
        <f>FE98*VLOOKUP('Données projet'!$B$16,Paramètres!$A$1:$I$89,3,0)*VLOOKUP('Données projet'!$B$16,Paramètres!$A$1:$I$89,5,0)</f>
        <v>235.02959999999987</v>
      </c>
      <c r="FG98" s="13">
        <f t="shared" si="101"/>
        <v>57.368825686861108</v>
      </c>
      <c r="FH98" s="20">
        <f t="shared" si="76"/>
        <v>509.26059140461626</v>
      </c>
      <c r="FI98" s="59">
        <f t="shared" si="77"/>
        <v>802.59392473794958</v>
      </c>
      <c r="FJ98" s="59">
        <f ca="1">AVERAGE(OFFSET($FI$3,0,0,'Données projet'!$E$16+1,1))-AVERAGE(OFFSET($H$3,0,0,'Données projet'!$E$16+1,1))</f>
        <v>247.22536892257716</v>
      </c>
      <c r="FK98" s="59">
        <f t="shared" si="102"/>
        <v>147.97952262756075</v>
      </c>
      <c r="FL98" s="15">
        <f>IF(ISNA(VLOOKUP(A98,'Données projet'!$A$217:$I$237,3,0)),0,VLOOKUP(A98,'Données projet'!$A$217:$I$237,3,0))</f>
        <v>15</v>
      </c>
      <c r="FM98" s="15">
        <f>IF(ISNA(VLOOKUP(A98,'Données projet'!$A$217:$I$237,4,0)),0,VLOOKUP(A98,'Données projet'!$A$217:$I$237,4,0))</f>
        <v>21</v>
      </c>
      <c r="FN98" s="16">
        <f>IF(ISNA(VLOOKUP(A98,'Données projet'!$A$217:$I$237,5,0)),0%,VLOOKUP(A98,'Données projet'!$A$217:$I$237,5,0)*VLOOKUP('Données projet'!$B$16,Paramètres!$A$1:$I$89,7,0))</f>
        <v>0.43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64.576673059866749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64.576673059866749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6">
        <f t="shared" si="56"/>
        <v>397.48093978929154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249.0000000000002</v>
      </c>
      <c r="O99" s="13">
        <f>N99*VLOOKUP('Données projet'!$B$9,Paramètres!$A$1:$I$89,3,0)*VLOOKUP('Données projet'!$B$9,Paramètres!$A$1:$I$89,5,0)</f>
        <v>217.52640000000019</v>
      </c>
      <c r="P99" s="13">
        <f t="shared" si="87"/>
        <v>53.576907690651304</v>
      </c>
      <c r="Q99" s="20">
        <f t="shared" ref="Q99:Q130" si="107">(O99+P99)*0.475*44/12</f>
        <v>472.17159422788467</v>
      </c>
      <c r="R99" s="59">
        <f t="shared" si="55"/>
        <v>765.50492756121798</v>
      </c>
      <c r="S99" s="59">
        <f ca="1">AVERAGE(OFFSET($R$3,0,0,'Données projet'!$E$9+1,1))-AVERAGE(OFFSET($H$3,0,0,'Données projet'!$E$9+1,1))</f>
        <v>253.73326067725128</v>
      </c>
      <c r="T99" s="59">
        <f t="shared" si="88"/>
        <v>317.76427047458026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37.317721765109738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37.317721765109738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732.99999999999966</v>
      </c>
      <c r="AJ99" s="13">
        <f>AI99*VLOOKUP('Données projet'!$B$10,Paramètres!$A$1:$I$89,3,0)*VLOOKUP('Données projet'!$B$10,Paramètres!$A$1:$I$89,5,0)</f>
        <v>352.57299999999987</v>
      </c>
      <c r="AK99" s="13">
        <f t="shared" si="89"/>
        <v>82.092092597941644</v>
      </c>
      <c r="AL99" s="20">
        <f t="shared" si="58"/>
        <v>757.04170294141477</v>
      </c>
      <c r="AM99" s="59">
        <f t="shared" si="59"/>
        <v>1050.375036274748</v>
      </c>
      <c r="AN99" s="59">
        <f ca="1">AVERAGE(OFFSET($AM$3,0,0,'Données projet'!$E$10+1,1))-AVERAGE(OFFSET($H$3,0,0,'Données projet'!$E$10+1,1))</f>
        <v>349.65790906807746</v>
      </c>
      <c r="AO99" s="59">
        <f t="shared" si="90"/>
        <v>291.88925884278888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92.152485832896687</v>
      </c>
      <c r="AV99" s="21">
        <f>EXP(-LN(2)/25)*AV98+(1-EXP(-LN(2)/25))/(LN(2)/25)*Calculateur!AQ99*Calculateur!AS99*VLOOKUP('Données projet'!$B$10,Paramètres!$A$1:$I$89,3,0)*0.475*44/12</f>
        <v>6.6086625603544125</v>
      </c>
      <c r="AW99" s="21">
        <f>EXP(-LN(2)/2)*AW98+(1-EXP(-LN(2)/2))/(LN(2)/2)*AQ99*AT99*VLOOKUP('Données projet'!$B$10,Paramètres!$A$1:$I$89,3,0)*0.475*44/12</f>
        <v>5.943770539782021E-12</v>
      </c>
      <c r="AX99" s="21">
        <f t="shared" si="60"/>
        <v>98.761148393257045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319</v>
      </c>
      <c r="BE99" s="13">
        <f>BD99*VLOOKUP('Données projet'!$B$11,Paramètres!$A$1:$I$89,3,0)*VLOOKUP('Données projet'!$B$11,Paramètres!$A$1:$I$89,5,0)</f>
        <v>253.79640000000001</v>
      </c>
      <c r="BF99" s="13">
        <f t="shared" si="91"/>
        <v>61.39816832228076</v>
      </c>
      <c r="BG99" s="20">
        <f t="shared" si="61"/>
        <v>548.96387316130563</v>
      </c>
      <c r="BH99" s="59">
        <f t="shared" si="62"/>
        <v>842.29720649463889</v>
      </c>
      <c r="BI99" s="59">
        <f ca="1">AVERAGE(OFFSET($BH$3,0,0,'Données projet'!$E$11+1,1))-AVERAGE(OFFSET($H$3,0,0,'Données projet'!$E$11+1,1))</f>
        <v>279.49721661620544</v>
      </c>
      <c r="BJ99" s="59">
        <f t="shared" si="92"/>
        <v>275.18739333988754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38.729202372781849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38.729202372781849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266.99999999999983</v>
      </c>
      <c r="BZ99" s="13">
        <f>BY99*VLOOKUP('Données projet'!$B$12,Paramètres!$A$1:$I$89,3,0)*VLOOKUP('Données projet'!$B$12,Paramètres!$A$1:$I$89,5,0)</f>
        <v>258.24239999999986</v>
      </c>
      <c r="CA99" s="13">
        <f t="shared" si="93"/>
        <v>62.347580891234152</v>
      </c>
      <c r="CB99" s="20">
        <f t="shared" si="64"/>
        <v>558.3608833855659</v>
      </c>
      <c r="CC99" s="59">
        <f t="shared" si="65"/>
        <v>851.69421671889927</v>
      </c>
      <c r="CD99" s="59">
        <f ca="1">AVERAGE(OFFSET($CC$3,0,0,'Données projet'!$E$12+1,1))-AVERAGE(OFFSET($H$3,0,0,'Données projet'!$E$12+1,1))</f>
        <v>281.84871057356037</v>
      </c>
      <c r="CE99" s="59">
        <f t="shared" si="94"/>
        <v>276.02211904126887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31.171505333626914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31.171505333626914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319</v>
      </c>
      <c r="CU99" s="17">
        <f>CT99*VLOOKUP('Données projet'!$B$13,Paramètres!$A$1:$I$89,3,0)*VLOOKUP('Données projet'!$B$13,Paramètres!$A$1:$I$89,5,0)</f>
        <v>253.79640000000001</v>
      </c>
      <c r="CV99" s="13">
        <f t="shared" si="95"/>
        <v>61.39816832228076</v>
      </c>
      <c r="CW99" s="20">
        <f t="shared" si="67"/>
        <v>548.96387316130563</v>
      </c>
      <c r="CX99" s="59">
        <f t="shared" si="68"/>
        <v>842.29720649463889</v>
      </c>
      <c r="CY99" s="59">
        <f ca="1">AVERAGE(OFFSET($CX$3,0,0,'Données projet'!$E$13+1,1))-AVERAGE(OFFSET($H$3,0,0,'Données projet'!$E$13+1,1))</f>
        <v>279.49721661620544</v>
      </c>
      <c r="CZ99" s="59">
        <f t="shared" si="96"/>
        <v>275.18739333988754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38.729202372781849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38.729202372781849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4.8</v>
      </c>
      <c r="DO99" s="12">
        <f>IF('Données projet'!$A$166&gt;35,DO98+DN99-DW98,IF(A99&lt;'Données projet'!$A$166,$DL$205^A99,IF(A99='Données projet'!$A$166,'Données projet'!$B$166,DO98+DN99-DW98)))</f>
        <v>262.79999999999984</v>
      </c>
      <c r="DP99" s="17">
        <f>DO99*VLOOKUP('Données projet'!$B$14,Paramètres!$A$1:$I$89,3,0)*VLOOKUP('Données projet'!$B$14,Paramètres!$A$1:$I$89,5,0)</f>
        <v>266.47919999999988</v>
      </c>
      <c r="DQ99" s="13">
        <f t="shared" si="97"/>
        <v>64.101496824889622</v>
      </c>
      <c r="DR99" s="20">
        <f t="shared" si="70"/>
        <v>575.76138030334926</v>
      </c>
      <c r="DS99" s="59">
        <f t="shared" si="71"/>
        <v>869.09471363668263</v>
      </c>
      <c r="DT99" s="59">
        <f ca="1">AVERAGE(OFFSET($DS$3,0,0,'Données projet'!$E$14+1,1))-AVERAGE(OFFSET($H$3,0,0,'Données projet'!$E$14+1,1))</f>
        <v>308.80022073574963</v>
      </c>
      <c r="DU99" s="59">
        <f t="shared" si="98"/>
        <v>183.96267407004115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76.206919496071606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76.206919496071606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266.99999999999983</v>
      </c>
      <c r="EK99" s="17">
        <f>EJ99*VLOOKUP('Données projet'!$B$15,Paramètres!$A$1:$I$89,3,0)*VLOOKUP('Données projet'!$B$15,Paramètres!$A$1:$I$89,5,0)</f>
        <v>174.93839999999989</v>
      </c>
      <c r="EL99" s="13">
        <f t="shared" si="99"/>
        <v>44.194210865203175</v>
      </c>
      <c r="EM99" s="20">
        <f t="shared" si="73"/>
        <v>381.65596392356196</v>
      </c>
      <c r="EN99" s="59">
        <f t="shared" si="74"/>
        <v>674.98929725689527</v>
      </c>
      <c r="EO99" s="59">
        <f ca="1">AVERAGE(OFFSET($EN$3,0,0,'Données projet'!$E$15+1,1))-AVERAGE(OFFSET($H$3,0,0,'Données projet'!$E$15+1,1))</f>
        <v>178.71569711875242</v>
      </c>
      <c r="EP99" s="59">
        <f t="shared" si="100"/>
        <v>178.13848582064168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21.116181032456947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21.116181032456947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4.8</v>
      </c>
      <c r="FE99" s="12">
        <f>IF('Données projet'!$A$218&gt;35,FE98+FD99-FM98,IF(A99&lt;'Données projet'!$A$218,$FB$205^A99,IF(A99='Données projet'!$A$218,'Données projet'!$B$218,FE98+FD99-FM98)))</f>
        <v>262.79999999999984</v>
      </c>
      <c r="FF99" s="17">
        <f>FE99*VLOOKUP('Données projet'!$B$16,Paramètres!$A$1:$I$89,3,0)*VLOOKUP('Données projet'!$B$16,Paramètres!$A$1:$I$89,5,0)</f>
        <v>221.38271999999989</v>
      </c>
      <c r="FG99" s="13">
        <f t="shared" si="101"/>
        <v>54.415303406517452</v>
      </c>
      <c r="FH99" s="20">
        <f t="shared" si="76"/>
        <v>480.34822409968433</v>
      </c>
      <c r="FI99" s="59">
        <f t="shared" si="77"/>
        <v>773.68155743301759</v>
      </c>
      <c r="FJ99" s="59">
        <f ca="1">AVERAGE(OFFSET($FI$3,0,0,'Données projet'!$E$16+1,1))-AVERAGE(OFFSET($H$3,0,0,'Données projet'!$E$16+1,1))</f>
        <v>247.22536892257716</v>
      </c>
      <c r="FK99" s="59">
        <f t="shared" si="102"/>
        <v>147.97952262756075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63.310363889044098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63.310363889044098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6">
        <f t="shared" si="56"/>
        <v>398.5369129745979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249.0000000000002</v>
      </c>
      <c r="O100" s="13">
        <f>N100*VLOOKUP('Données projet'!$B$9,Paramètres!$A$1:$I$89,3,0)*VLOOKUP('Données projet'!$B$9,Paramètres!$A$1:$I$89,5,0)</f>
        <v>217.52640000000019</v>
      </c>
      <c r="P100" s="13">
        <f t="shared" si="87"/>
        <v>53.576907690651304</v>
      </c>
      <c r="Q100" s="20">
        <f t="shared" si="107"/>
        <v>472.17159422788467</v>
      </c>
      <c r="R100" s="59">
        <f t="shared" si="55"/>
        <v>765.50492756121798</v>
      </c>
      <c r="S100" s="59">
        <f ca="1">AVERAGE(OFFSET($R$3,0,0,'Données projet'!$E$9+1,1))-AVERAGE(OFFSET($H$3,0,0,'Données projet'!$E$9+1,1))</f>
        <v>253.73326067725128</v>
      </c>
      <c r="T100" s="59">
        <f t="shared" si="88"/>
        <v>317.76427047458026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36.585944002858696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36.585944002858696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732.99999999999966</v>
      </c>
      <c r="AJ100" s="13">
        <f>AI100*VLOOKUP('Données projet'!$B$10,Paramètres!$A$1:$I$89,3,0)*VLOOKUP('Données projet'!$B$10,Paramètres!$A$1:$I$89,5,0)</f>
        <v>352.57299999999987</v>
      </c>
      <c r="AK100" s="13">
        <f t="shared" si="89"/>
        <v>82.092092597941644</v>
      </c>
      <c r="AL100" s="20">
        <f t="shared" si="58"/>
        <v>757.04170294141477</v>
      </c>
      <c r="AM100" s="59">
        <f t="shared" si="59"/>
        <v>1050.375036274748</v>
      </c>
      <c r="AN100" s="59">
        <f ca="1">AVERAGE(OFFSET($AM$3,0,0,'Données projet'!$E$10+1,1))-AVERAGE(OFFSET($H$3,0,0,'Données projet'!$E$10+1,1))</f>
        <v>349.65790906807746</v>
      </c>
      <c r="AO100" s="59">
        <f t="shared" si="90"/>
        <v>291.88925884278888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90.345431793179912</v>
      </c>
      <c r="AV100" s="21">
        <f>EXP(-LN(2)/25)*AV99+(1-EXP(-LN(2)/25))/(LN(2)/25)*Calculateur!AQ100*Calculateur!AS100*VLOOKUP('Données projet'!$B$10,Paramètres!$A$1:$I$89,3,0)*0.475*44/12</f>
        <v>6.427948335107061</v>
      </c>
      <c r="AW100" s="21">
        <f>EXP(-LN(2)/2)*AW99+(1-EXP(-LN(2)/2))/(LN(2)/2)*AQ100*AT100*VLOOKUP('Données projet'!$B$10,Paramètres!$A$1:$I$89,3,0)*0.475*44/12</f>
        <v>4.202880454496693E-12</v>
      </c>
      <c r="AX100" s="21">
        <f t="shared" si="60"/>
        <v>96.77338012829118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319</v>
      </c>
      <c r="BE100" s="13">
        <f>BD100*VLOOKUP('Données projet'!$B$11,Paramètres!$A$1:$I$89,3,0)*VLOOKUP('Données projet'!$B$11,Paramètres!$A$1:$I$89,5,0)</f>
        <v>253.79640000000001</v>
      </c>
      <c r="BF100" s="13">
        <f t="shared" si="91"/>
        <v>61.39816832228076</v>
      </c>
      <c r="BG100" s="20">
        <f t="shared" si="61"/>
        <v>548.96387316130563</v>
      </c>
      <c r="BH100" s="59">
        <f t="shared" si="62"/>
        <v>842.29720649463889</v>
      </c>
      <c r="BI100" s="59">
        <f ca="1">AVERAGE(OFFSET($BH$3,0,0,'Données projet'!$E$11+1,1))-AVERAGE(OFFSET($H$3,0,0,'Données projet'!$E$11+1,1))</f>
        <v>279.49721661620544</v>
      </c>
      <c r="BJ100" s="59">
        <f t="shared" si="92"/>
        <v>275.18739333988754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37.96974633673252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37.96974633673252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266.99999999999983</v>
      </c>
      <c r="BZ100" s="13">
        <f>BY100*VLOOKUP('Données projet'!$B$12,Paramètres!$A$1:$I$89,3,0)*VLOOKUP('Données projet'!$B$12,Paramètres!$A$1:$I$89,5,0)</f>
        <v>258.24239999999986</v>
      </c>
      <c r="CA100" s="13">
        <f t="shared" si="93"/>
        <v>62.347580891234152</v>
      </c>
      <c r="CB100" s="20">
        <f t="shared" si="64"/>
        <v>558.3608833855659</v>
      </c>
      <c r="CC100" s="59">
        <f t="shared" si="65"/>
        <v>851.69421671889927</v>
      </c>
      <c r="CD100" s="59">
        <f ca="1">AVERAGE(OFFSET($CC$3,0,0,'Données projet'!$E$12+1,1))-AVERAGE(OFFSET($H$3,0,0,'Données projet'!$E$12+1,1))</f>
        <v>281.84871057356037</v>
      </c>
      <c r="CE100" s="59">
        <f t="shared" si="94"/>
        <v>276.02211904126887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30.560251126775391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30.560251126775391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319</v>
      </c>
      <c r="CU100" s="17">
        <f>CT100*VLOOKUP('Données projet'!$B$13,Paramètres!$A$1:$I$89,3,0)*VLOOKUP('Données projet'!$B$13,Paramètres!$A$1:$I$89,5,0)</f>
        <v>253.79640000000001</v>
      </c>
      <c r="CV100" s="13">
        <f t="shared" si="95"/>
        <v>61.39816832228076</v>
      </c>
      <c r="CW100" s="20">
        <f t="shared" si="67"/>
        <v>548.96387316130563</v>
      </c>
      <c r="CX100" s="59">
        <f t="shared" si="68"/>
        <v>842.29720649463889</v>
      </c>
      <c r="CY100" s="59">
        <f ca="1">AVERAGE(OFFSET($CX$3,0,0,'Données projet'!$E$13+1,1))-AVERAGE(OFFSET($H$3,0,0,'Données projet'!$E$13+1,1))</f>
        <v>279.49721661620544</v>
      </c>
      <c r="CZ100" s="59">
        <f t="shared" si="96"/>
        <v>275.18739333988754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37.96974633673252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37.96974633673252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4.8</v>
      </c>
      <c r="DO100" s="12">
        <f>IF('Données projet'!$A$166&gt;35,DO99+DN100-DW99,IF(A100&lt;'Données projet'!$A$166,$DL$205^A100,IF(A100='Données projet'!$A$166,'Données projet'!$B$166,DO99+DN100-DW99)))</f>
        <v>267.59999999999985</v>
      </c>
      <c r="DP100" s="17">
        <f>DO100*VLOOKUP('Données projet'!$B$14,Paramètres!$A$1:$I$89,3,0)*VLOOKUP('Données projet'!$B$14,Paramètres!$A$1:$I$89,5,0)</f>
        <v>271.34639999999985</v>
      </c>
      <c r="DQ100" s="13">
        <f t="shared" si="97"/>
        <v>65.134926573557308</v>
      </c>
      <c r="DR100" s="20">
        <f t="shared" si="70"/>
        <v>586.03831044894537</v>
      </c>
      <c r="DS100" s="59">
        <f t="shared" si="71"/>
        <v>879.37164378227862</v>
      </c>
      <c r="DT100" s="59">
        <f ca="1">AVERAGE(OFFSET($DS$3,0,0,'Données projet'!$E$14+1,1))-AVERAGE(OFFSET($H$3,0,0,'Données projet'!$E$14+1,1))</f>
        <v>308.80022073574963</v>
      </c>
      <c r="DU100" s="59">
        <f t="shared" si="98"/>
        <v>183.96267407004115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74.712548286384859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74.712548286384859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266.99999999999983</v>
      </c>
      <c r="EK100" s="17">
        <f>EJ100*VLOOKUP('Données projet'!$B$15,Paramètres!$A$1:$I$89,3,0)*VLOOKUP('Données projet'!$B$15,Paramètres!$A$1:$I$89,5,0)</f>
        <v>174.93839999999989</v>
      </c>
      <c r="EL100" s="13">
        <f t="shared" si="99"/>
        <v>44.194210865203175</v>
      </c>
      <c r="EM100" s="20">
        <f t="shared" si="73"/>
        <v>381.65596392356196</v>
      </c>
      <c r="EN100" s="59">
        <f t="shared" si="74"/>
        <v>674.98929725689527</v>
      </c>
      <c r="EO100" s="59">
        <f ca="1">AVERAGE(OFFSET($EN$3,0,0,'Données projet'!$E$15+1,1))-AVERAGE(OFFSET($H$3,0,0,'Données projet'!$E$15+1,1))</f>
        <v>178.71569711875242</v>
      </c>
      <c r="EP100" s="59">
        <f t="shared" si="100"/>
        <v>178.13848582064168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20.702105602009141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20.702105602009141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4.8</v>
      </c>
      <c r="FE100" s="12">
        <f>IF('Données projet'!$A$218&gt;35,FE99+FD100-FM99,IF(A100&lt;'Données projet'!$A$218,$FB$205^A100,IF(A100='Données projet'!$A$218,'Données projet'!$B$218,FE99+FD100-FM99)))</f>
        <v>267.59999999999985</v>
      </c>
      <c r="FF100" s="17">
        <f>FE100*VLOOKUP('Données projet'!$B$16,Paramètres!$A$1:$I$89,3,0)*VLOOKUP('Données projet'!$B$16,Paramètres!$A$1:$I$89,5,0)</f>
        <v>225.42623999999989</v>
      </c>
      <c r="FG100" s="13">
        <f t="shared" si="101"/>
        <v>55.292574548511105</v>
      </c>
      <c r="FH100" s="20">
        <f t="shared" si="76"/>
        <v>488.91860200532329</v>
      </c>
      <c r="FI100" s="59">
        <f t="shared" si="77"/>
        <v>782.25193533865661</v>
      </c>
      <c r="FJ100" s="59">
        <f ca="1">AVERAGE(OFFSET($FI$3,0,0,'Données projet'!$E$16+1,1))-AVERAGE(OFFSET($H$3,0,0,'Données projet'!$E$16+1,1))</f>
        <v>247.22536892257716</v>
      </c>
      <c r="FK100" s="59">
        <f t="shared" si="102"/>
        <v>147.97952262756075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62.068886268688949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62.068886268688949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6">
        <f t="shared" si="56"/>
        <v>399.59262443424268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249.0000000000002</v>
      </c>
      <c r="O101" s="13">
        <f>N101*VLOOKUP('Données projet'!$B$9,Paramètres!$A$1:$I$89,3,0)*VLOOKUP('Données projet'!$B$9,Paramètres!$A$1:$I$89,5,0)</f>
        <v>217.52640000000019</v>
      </c>
      <c r="P101" s="13">
        <f t="shared" si="87"/>
        <v>53.576907690651304</v>
      </c>
      <c r="Q101" s="20">
        <f t="shared" si="107"/>
        <v>472.17159422788467</v>
      </c>
      <c r="R101" s="59">
        <f t="shared" si="55"/>
        <v>765.50492756121798</v>
      </c>
      <c r="S101" s="59">
        <f ca="1">AVERAGE(OFFSET($R$3,0,0,'Données projet'!$E$9+1,1))-AVERAGE(OFFSET($H$3,0,0,'Données projet'!$E$9+1,1))</f>
        <v>253.73326067725128</v>
      </c>
      <c r="T101" s="59">
        <f t="shared" si="88"/>
        <v>317.76427047458026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35.868515956185036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35.868515956185036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732.99999999999966</v>
      </c>
      <c r="AJ101" s="13">
        <f>AI101*VLOOKUP('Données projet'!$B$10,Paramètres!$A$1:$I$89,3,0)*VLOOKUP('Données projet'!$B$10,Paramètres!$A$1:$I$89,5,0)</f>
        <v>352.57299999999987</v>
      </c>
      <c r="AK101" s="13">
        <f t="shared" si="89"/>
        <v>82.092092597941644</v>
      </c>
      <c r="AL101" s="20">
        <f t="shared" si="58"/>
        <v>757.04170294141477</v>
      </c>
      <c r="AM101" s="59">
        <f t="shared" si="59"/>
        <v>1050.375036274748</v>
      </c>
      <c r="AN101" s="59">
        <f ca="1">AVERAGE(OFFSET($AM$3,0,0,'Données projet'!$E$10+1,1))-AVERAGE(OFFSET($H$3,0,0,'Données projet'!$E$10+1,1))</f>
        <v>349.65790906807746</v>
      </c>
      <c r="AO101" s="59">
        <f t="shared" si="90"/>
        <v>291.88925884278888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88.573812980987853</v>
      </c>
      <c r="AV101" s="21">
        <f>EXP(-LN(2)/25)*AV100+(1-EXP(-LN(2)/25))/(LN(2)/25)*Calculateur!AQ101*Calculateur!AS101*VLOOKUP('Données projet'!$B$10,Paramètres!$A$1:$I$89,3,0)*0.475*44/12</f>
        <v>6.2521757498524471</v>
      </c>
      <c r="AW101" s="21">
        <f>EXP(-LN(2)/2)*AW100+(1-EXP(-LN(2)/2))/(LN(2)/2)*AQ101*AT101*VLOOKUP('Données projet'!$B$10,Paramètres!$A$1:$I$89,3,0)*0.475*44/12</f>
        <v>2.9718852698910105E-12</v>
      </c>
      <c r="AX101" s="21">
        <f t="shared" si="60"/>
        <v>94.825988730843264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319</v>
      </c>
      <c r="BE101" s="13">
        <f>BD101*VLOOKUP('Données projet'!$B$11,Paramètres!$A$1:$I$89,3,0)*VLOOKUP('Données projet'!$B$11,Paramètres!$A$1:$I$89,5,0)</f>
        <v>253.79640000000001</v>
      </c>
      <c r="BF101" s="13">
        <f t="shared" si="91"/>
        <v>61.39816832228076</v>
      </c>
      <c r="BG101" s="20">
        <f t="shared" si="61"/>
        <v>548.96387316130563</v>
      </c>
      <c r="BH101" s="59">
        <f t="shared" si="62"/>
        <v>842.29720649463889</v>
      </c>
      <c r="BI101" s="59">
        <f ca="1">AVERAGE(OFFSET($BH$3,0,0,'Données projet'!$E$11+1,1))-AVERAGE(OFFSET($H$3,0,0,'Données projet'!$E$11+1,1))</f>
        <v>279.49721661620544</v>
      </c>
      <c r="BJ101" s="59">
        <f t="shared" si="92"/>
        <v>275.18739333988754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37.22518277032767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37.22518277032767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266.99999999999983</v>
      </c>
      <c r="BZ101" s="13">
        <f>BY101*VLOOKUP('Données projet'!$B$12,Paramètres!$A$1:$I$89,3,0)*VLOOKUP('Données projet'!$B$12,Paramètres!$A$1:$I$89,5,0)</f>
        <v>258.24239999999986</v>
      </c>
      <c r="CA101" s="13">
        <f t="shared" si="93"/>
        <v>62.347580891234152</v>
      </c>
      <c r="CB101" s="20">
        <f t="shared" si="64"/>
        <v>558.3608833855659</v>
      </c>
      <c r="CC101" s="59">
        <f t="shared" si="65"/>
        <v>851.69421671889927</v>
      </c>
      <c r="CD101" s="59">
        <f ca="1">AVERAGE(OFFSET($CC$3,0,0,'Données projet'!$E$12+1,1))-AVERAGE(OFFSET($H$3,0,0,'Données projet'!$E$12+1,1))</f>
        <v>281.84871057356037</v>
      </c>
      <c r="CE101" s="59">
        <f t="shared" si="94"/>
        <v>276.02211904126887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29.960983242091974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29.960983242091974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319</v>
      </c>
      <c r="CU101" s="17">
        <f>CT101*VLOOKUP('Données projet'!$B$13,Paramètres!$A$1:$I$89,3,0)*VLOOKUP('Données projet'!$B$13,Paramètres!$A$1:$I$89,5,0)</f>
        <v>253.79640000000001</v>
      </c>
      <c r="CV101" s="13">
        <f t="shared" si="95"/>
        <v>61.39816832228076</v>
      </c>
      <c r="CW101" s="20">
        <f t="shared" si="67"/>
        <v>548.96387316130563</v>
      </c>
      <c r="CX101" s="59">
        <f t="shared" si="68"/>
        <v>842.29720649463889</v>
      </c>
      <c r="CY101" s="59">
        <f ca="1">AVERAGE(OFFSET($CX$3,0,0,'Données projet'!$E$13+1,1))-AVERAGE(OFFSET($H$3,0,0,'Données projet'!$E$13+1,1))</f>
        <v>279.49721661620544</v>
      </c>
      <c r="CZ101" s="59">
        <f t="shared" si="96"/>
        <v>275.18739333988754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37.22518277032767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37.22518277032767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4.8</v>
      </c>
      <c r="DO101" s="12">
        <f>IF('Données projet'!$A$166&gt;35,DO100+DN101-DW100,IF(A101&lt;'Données projet'!$A$166,$DL$205^A101,IF(A101='Données projet'!$A$166,'Données projet'!$B$166,DO100+DN101-DW100)))</f>
        <v>272.39999999999986</v>
      </c>
      <c r="DP101" s="17">
        <f>DO101*VLOOKUP('Données projet'!$B$14,Paramètres!$A$1:$I$89,3,0)*VLOOKUP('Données projet'!$B$14,Paramètres!$A$1:$I$89,5,0)</f>
        <v>276.21359999999987</v>
      </c>
      <c r="DQ101" s="13">
        <f t="shared" si="97"/>
        <v>66.166200760877416</v>
      </c>
      <c r="DR101" s="20">
        <f t="shared" si="70"/>
        <v>596.31148632519455</v>
      </c>
      <c r="DS101" s="59">
        <f t="shared" si="71"/>
        <v>889.64481965852792</v>
      </c>
      <c r="DT101" s="59">
        <f ca="1">AVERAGE(OFFSET($DS$3,0,0,'Données projet'!$E$14+1,1))-AVERAGE(OFFSET($H$3,0,0,'Données projet'!$E$14+1,1))</f>
        <v>308.80022073574963</v>
      </c>
      <c r="DU101" s="59">
        <f t="shared" si="98"/>
        <v>183.96267407004115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73.247480784643628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73.247480784643628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266.99999999999983</v>
      </c>
      <c r="EK101" s="17">
        <f>EJ101*VLOOKUP('Données projet'!$B$15,Paramètres!$A$1:$I$89,3,0)*VLOOKUP('Données projet'!$B$15,Paramètres!$A$1:$I$89,5,0)</f>
        <v>174.93839999999989</v>
      </c>
      <c r="EL101" s="13">
        <f t="shared" si="99"/>
        <v>44.194210865203175</v>
      </c>
      <c r="EM101" s="20">
        <f t="shared" si="73"/>
        <v>381.65596392356196</v>
      </c>
      <c r="EN101" s="59">
        <f t="shared" si="74"/>
        <v>674.98929725689527</v>
      </c>
      <c r="EO101" s="59">
        <f ca="1">AVERAGE(OFFSET($EN$3,0,0,'Données projet'!$E$15+1,1))-AVERAGE(OFFSET($H$3,0,0,'Données projet'!$E$15+1,1))</f>
        <v>178.71569711875242</v>
      </c>
      <c r="EP101" s="59">
        <f t="shared" si="100"/>
        <v>178.13848582064168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20.296149938191341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20.296149938191341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4.8</v>
      </c>
      <c r="FE101" s="12">
        <f>IF('Données projet'!$A$218&gt;35,FE100+FD101-FM100,IF(A101&lt;'Données projet'!$A$218,$FB$205^A101,IF(A101='Données projet'!$A$218,'Données projet'!$B$218,FE100+FD101-FM100)))</f>
        <v>272.39999999999986</v>
      </c>
      <c r="FF101" s="17">
        <f>FE101*VLOOKUP('Données projet'!$B$16,Paramètres!$A$1:$I$89,3,0)*VLOOKUP('Données projet'!$B$16,Paramètres!$A$1:$I$89,5,0)</f>
        <v>229.46975999999992</v>
      </c>
      <c r="FG101" s="13">
        <f t="shared" si="101"/>
        <v>56.168015849852821</v>
      </c>
      <c r="FH101" s="20">
        <f t="shared" si="76"/>
        <v>497.4857929384936</v>
      </c>
      <c r="FI101" s="59">
        <f t="shared" si="77"/>
        <v>790.81912627182692</v>
      </c>
      <c r="FJ101" s="59">
        <f ca="1">AVERAGE(OFFSET($FI$3,0,0,'Données projet'!$E$16+1,1))-AVERAGE(OFFSET($H$3,0,0,'Données projet'!$E$16+1,1))</f>
        <v>247.22536892257716</v>
      </c>
      <c r="FK101" s="59">
        <f t="shared" si="102"/>
        <v>147.97952262756075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60.851753267242387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60.851753267242387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6">
        <f t="shared" si="56"/>
        <v>400.64807714809581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249.0000000000002</v>
      </c>
      <c r="O102" s="13">
        <f>N102*VLOOKUP('Données projet'!$B$9,Paramètres!$A$1:$I$89,3,0)*VLOOKUP('Données projet'!$B$9,Paramètres!$A$1:$I$89,5,0)</f>
        <v>217.52640000000019</v>
      </c>
      <c r="P102" s="13">
        <f t="shared" si="87"/>
        <v>53.576907690651304</v>
      </c>
      <c r="Q102" s="20">
        <f t="shared" si="107"/>
        <v>472.17159422788467</v>
      </c>
      <c r="R102" s="59">
        <f t="shared" si="55"/>
        <v>765.50492756121798</v>
      </c>
      <c r="S102" s="59">
        <f ca="1">AVERAGE(OFFSET($R$3,0,0,'Données projet'!$E$9+1,1))-AVERAGE(OFFSET($H$3,0,0,'Données projet'!$E$9+1,1))</f>
        <v>253.73326067725128</v>
      </c>
      <c r="T102" s="59">
        <f t="shared" si="88"/>
        <v>317.76427047458026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35.165156235918744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35.165156235918744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732.99999999999966</v>
      </c>
      <c r="AJ102" s="13">
        <f>AI102*VLOOKUP('Données projet'!$B$10,Paramètres!$A$1:$I$89,3,0)*VLOOKUP('Données projet'!$B$10,Paramètres!$A$1:$I$89,5,0)</f>
        <v>352.57299999999987</v>
      </c>
      <c r="AK102" s="13">
        <f t="shared" si="89"/>
        <v>82.092092597941644</v>
      </c>
      <c r="AL102" s="20">
        <f t="shared" si="58"/>
        <v>757.04170294141477</v>
      </c>
      <c r="AM102" s="59">
        <f t="shared" si="59"/>
        <v>1050.375036274748</v>
      </c>
      <c r="AN102" s="59">
        <f ca="1">AVERAGE(OFFSET($AM$3,0,0,'Données projet'!$E$10+1,1))-AVERAGE(OFFSET($H$3,0,0,'Données projet'!$E$10+1,1))</f>
        <v>349.65790906807746</v>
      </c>
      <c r="AO102" s="59">
        <f t="shared" si="90"/>
        <v>291.88925884278888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86.836934533122104</v>
      </c>
      <c r="AV102" s="21">
        <f>EXP(-LN(2)/25)*AV101+(1-EXP(-LN(2)/25))/(LN(2)/25)*Calculateur!AQ102*Calculateur!AS102*VLOOKUP('Données projet'!$B$10,Paramètres!$A$1:$I$89,3,0)*0.475*44/12</f>
        <v>6.0812096751850984</v>
      </c>
      <c r="AW102" s="21">
        <f>EXP(-LN(2)/2)*AW101+(1-EXP(-LN(2)/2))/(LN(2)/2)*AQ102*AT102*VLOOKUP('Données projet'!$B$10,Paramètres!$A$1:$I$89,3,0)*0.475*44/12</f>
        <v>2.1014402272483465E-12</v>
      </c>
      <c r="AX102" s="21">
        <f t="shared" si="60"/>
        <v>92.9181442083093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319</v>
      </c>
      <c r="BE102" s="13">
        <f>BD102*VLOOKUP('Données projet'!$B$11,Paramètres!$A$1:$I$89,3,0)*VLOOKUP('Données projet'!$B$11,Paramètres!$A$1:$I$89,5,0)</f>
        <v>253.79640000000001</v>
      </c>
      <c r="BF102" s="13">
        <f t="shared" si="91"/>
        <v>61.39816832228076</v>
      </c>
      <c r="BG102" s="20">
        <f t="shared" si="61"/>
        <v>548.96387316130563</v>
      </c>
      <c r="BH102" s="59">
        <f t="shared" si="62"/>
        <v>842.29720649463889</v>
      </c>
      <c r="BI102" s="59">
        <f ca="1">AVERAGE(OFFSET($BH$3,0,0,'Données projet'!$E$11+1,1))-AVERAGE(OFFSET($H$3,0,0,'Données projet'!$E$11+1,1))</f>
        <v>279.49721661620544</v>
      </c>
      <c r="BJ102" s="59">
        <f t="shared" si="92"/>
        <v>275.18739333988754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36.495219641321093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36.495219641321093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266.99999999999983</v>
      </c>
      <c r="BZ102" s="13">
        <f>BY102*VLOOKUP('Données projet'!$B$12,Paramètres!$A$1:$I$89,3,0)*VLOOKUP('Données projet'!$B$12,Paramètres!$A$1:$I$89,5,0)</f>
        <v>258.24239999999986</v>
      </c>
      <c r="CA102" s="13">
        <f t="shared" si="93"/>
        <v>62.347580891234152</v>
      </c>
      <c r="CB102" s="20">
        <f t="shared" si="64"/>
        <v>558.3608833855659</v>
      </c>
      <c r="CC102" s="59">
        <f t="shared" si="65"/>
        <v>851.69421671889927</v>
      </c>
      <c r="CD102" s="59">
        <f ca="1">AVERAGE(OFFSET($CC$3,0,0,'Données projet'!$E$12+1,1))-AVERAGE(OFFSET($H$3,0,0,'Données projet'!$E$12+1,1))</f>
        <v>281.84871057356037</v>
      </c>
      <c r="CE102" s="59">
        <f t="shared" si="94"/>
        <v>276.02211904126887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29.373466635109882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29.373466635109882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319</v>
      </c>
      <c r="CU102" s="17">
        <f>CT102*VLOOKUP('Données projet'!$B$13,Paramètres!$A$1:$I$89,3,0)*VLOOKUP('Données projet'!$B$13,Paramètres!$A$1:$I$89,5,0)</f>
        <v>253.79640000000001</v>
      </c>
      <c r="CV102" s="13">
        <f t="shared" si="95"/>
        <v>61.39816832228076</v>
      </c>
      <c r="CW102" s="20">
        <f t="shared" si="67"/>
        <v>548.96387316130563</v>
      </c>
      <c r="CX102" s="59">
        <f t="shared" si="68"/>
        <v>842.29720649463889</v>
      </c>
      <c r="CY102" s="59">
        <f ca="1">AVERAGE(OFFSET($CX$3,0,0,'Données projet'!$E$13+1,1))-AVERAGE(OFFSET($H$3,0,0,'Données projet'!$E$13+1,1))</f>
        <v>279.49721661620544</v>
      </c>
      <c r="CZ102" s="59">
        <f t="shared" si="96"/>
        <v>275.18739333988754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36.495219641321093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36.495219641321093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4.8</v>
      </c>
      <c r="DO102" s="12">
        <f>IF('Données projet'!$A$166&gt;35,DO101+DN102-DW101,IF(A102&lt;'Données projet'!$A$166,$DL$205^A102,IF(A102='Données projet'!$A$166,'Données projet'!$B$166,DO101+DN102-DW101)))</f>
        <v>277.19999999999987</v>
      </c>
      <c r="DP102" s="17">
        <f>DO102*VLOOKUP('Données projet'!$B$14,Paramètres!$A$1:$I$89,3,0)*VLOOKUP('Données projet'!$B$14,Paramètres!$A$1:$I$89,5,0)</f>
        <v>281.0807999999999</v>
      </c>
      <c r="DQ102" s="13">
        <f t="shared" si="97"/>
        <v>67.19536175254612</v>
      </c>
      <c r="DR102" s="20">
        <f t="shared" si="70"/>
        <v>606.58098171901759</v>
      </c>
      <c r="DS102" s="59">
        <f t="shared" si="71"/>
        <v>899.91431505235096</v>
      </c>
      <c r="DT102" s="59">
        <f ca="1">AVERAGE(OFFSET($DS$3,0,0,'Données projet'!$E$14+1,1))-AVERAGE(OFFSET($H$3,0,0,'Données projet'!$E$14+1,1))</f>
        <v>308.80022073574963</v>
      </c>
      <c r="DU102" s="59">
        <f t="shared" si="98"/>
        <v>183.96267407004115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71.811142363008599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71.811142363008599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266.99999999999983</v>
      </c>
      <c r="EK102" s="17">
        <f>EJ102*VLOOKUP('Données projet'!$B$15,Paramètres!$A$1:$I$89,3,0)*VLOOKUP('Données projet'!$B$15,Paramètres!$A$1:$I$89,5,0)</f>
        <v>174.93839999999989</v>
      </c>
      <c r="EL102" s="13">
        <f t="shared" si="99"/>
        <v>44.194210865203175</v>
      </c>
      <c r="EM102" s="20">
        <f t="shared" si="73"/>
        <v>381.65596392356196</v>
      </c>
      <c r="EN102" s="59">
        <f t="shared" si="74"/>
        <v>674.98929725689527</v>
      </c>
      <c r="EO102" s="59">
        <f ca="1">AVERAGE(OFFSET($EN$3,0,0,'Données projet'!$E$15+1,1))-AVERAGE(OFFSET($H$3,0,0,'Données projet'!$E$15+1,1))</f>
        <v>178.71569711875242</v>
      </c>
      <c r="EP102" s="59">
        <f t="shared" si="100"/>
        <v>178.13848582064168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19.898154817332504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19.898154817332504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4.8</v>
      </c>
      <c r="FE102" s="12">
        <f>IF('Données projet'!$A$218&gt;35,FE101+FD102-FM101,IF(A102&lt;'Données projet'!$A$218,$FB$205^A102,IF(A102='Données projet'!$A$218,'Données projet'!$B$218,FE101+FD102-FM101)))</f>
        <v>277.19999999999987</v>
      </c>
      <c r="FF102" s="17">
        <f>FE102*VLOOKUP('Données projet'!$B$16,Paramètres!$A$1:$I$89,3,0)*VLOOKUP('Données projet'!$B$16,Paramètres!$A$1:$I$89,5,0)</f>
        <v>233.5132799999999</v>
      </c>
      <c r="FG102" s="13">
        <f t="shared" si="101"/>
        <v>57.041663274479838</v>
      </c>
      <c r="FH102" s="20">
        <f t="shared" si="76"/>
        <v>506.04985953638561</v>
      </c>
      <c r="FI102" s="59">
        <f t="shared" si="77"/>
        <v>799.38319286971887</v>
      </c>
      <c r="FJ102" s="59">
        <f ca="1">AVERAGE(OFFSET($FI$3,0,0,'Données projet'!$E$16+1,1))-AVERAGE(OFFSET($H$3,0,0,'Données projet'!$E$16+1,1))</f>
        <v>247.22536892257716</v>
      </c>
      <c r="FK102" s="59">
        <f t="shared" si="102"/>
        <v>147.97952262756075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59.658487501576367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59.658487501576367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6">
        <f t="shared" si="56"/>
        <v>401.70327403235842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249.0000000000002</v>
      </c>
      <c r="O103" s="13">
        <f>N103*VLOOKUP('Données projet'!$B$9,Paramètres!$A$1:$I$89,3,0)*VLOOKUP('Données projet'!$B$9,Paramètres!$A$1:$I$89,5,0)</f>
        <v>217.52640000000019</v>
      </c>
      <c r="P103" s="13">
        <f t="shared" si="87"/>
        <v>53.576907690651304</v>
      </c>
      <c r="Q103" s="20">
        <f t="shared" si="107"/>
        <v>472.17159422788467</v>
      </c>
      <c r="R103" s="59">
        <f t="shared" si="55"/>
        <v>765.50492756121798</v>
      </c>
      <c r="S103" s="59">
        <f ca="1">AVERAGE(OFFSET($R$3,0,0,'Données projet'!$E$9+1,1))-AVERAGE(OFFSET($H$3,0,0,'Données projet'!$E$9+1,1))</f>
        <v>253.73326067725128</v>
      </c>
      <c r="T103" s="59">
        <f t="shared" si="88"/>
        <v>317.76427047458026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34.475588970759802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34.475588970759802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732.99999999999966</v>
      </c>
      <c r="AJ103" s="13">
        <f>AI103*VLOOKUP('Données projet'!$B$10,Paramètres!$A$1:$I$89,3,0)*VLOOKUP('Données projet'!$B$10,Paramètres!$A$1:$I$89,5,0)</f>
        <v>352.57299999999987</v>
      </c>
      <c r="AK103" s="13">
        <f t="shared" si="89"/>
        <v>82.092092597941644</v>
      </c>
      <c r="AL103" s="20">
        <f t="shared" si="58"/>
        <v>757.04170294141477</v>
      </c>
      <c r="AM103" s="59">
        <f t="shared" si="59"/>
        <v>1050.375036274748</v>
      </c>
      <c r="AN103" s="59">
        <f ca="1">AVERAGE(OFFSET($AM$3,0,0,'Données projet'!$E$10+1,1))-AVERAGE(OFFSET($H$3,0,0,'Données projet'!$E$10+1,1))</f>
        <v>349.65790906807746</v>
      </c>
      <c r="AO103" s="59">
        <f t="shared" si="90"/>
        <v>291.88925884278888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85.134115212227755</v>
      </c>
      <c r="AV103" s="21">
        <f>EXP(-LN(2)/25)*AV102+(1-EXP(-LN(2)/25))/(LN(2)/25)*Calculateur!AQ103*Calculateur!AS103*VLOOKUP('Données projet'!$B$10,Paramètres!$A$1:$I$89,3,0)*0.475*44/12</f>
        <v>5.9149186768202435</v>
      </c>
      <c r="AW103" s="21">
        <f>EXP(-LN(2)/2)*AW102+(1-EXP(-LN(2)/2))/(LN(2)/2)*AQ103*AT103*VLOOKUP('Données projet'!$B$10,Paramètres!$A$1:$I$89,3,0)*0.475*44/12</f>
        <v>1.4859426349455053E-12</v>
      </c>
      <c r="AX103" s="21">
        <f t="shared" si="60"/>
        <v>91.049033889049497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319</v>
      </c>
      <c r="BE103" s="13">
        <f>BD103*VLOOKUP('Données projet'!$B$11,Paramètres!$A$1:$I$89,3,0)*VLOOKUP('Données projet'!$B$11,Paramètres!$A$1:$I$89,5,0)</f>
        <v>253.79640000000001</v>
      </c>
      <c r="BF103" s="13">
        <f t="shared" si="91"/>
        <v>61.39816832228076</v>
      </c>
      <c r="BG103" s="20">
        <f t="shared" si="61"/>
        <v>548.96387316130563</v>
      </c>
      <c r="BH103" s="59">
        <f t="shared" si="62"/>
        <v>842.29720649463889</v>
      </c>
      <c r="BI103" s="59">
        <f ca="1">AVERAGE(OFFSET($BH$3,0,0,'Données projet'!$E$11+1,1))-AVERAGE(OFFSET($H$3,0,0,'Données projet'!$E$11+1,1))</f>
        <v>279.49721661620544</v>
      </c>
      <c r="BJ103" s="59">
        <f t="shared" si="92"/>
        <v>275.18739333988754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35.779570644040788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35.779570644040788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266.99999999999983</v>
      </c>
      <c r="BZ103" s="13">
        <f>BY103*VLOOKUP('Données projet'!$B$12,Paramètres!$A$1:$I$89,3,0)*VLOOKUP('Données projet'!$B$12,Paramètres!$A$1:$I$89,5,0)</f>
        <v>258.24239999999986</v>
      </c>
      <c r="CA103" s="13">
        <f t="shared" si="93"/>
        <v>62.347580891234152</v>
      </c>
      <c r="CB103" s="20">
        <f t="shared" si="64"/>
        <v>558.3608833855659</v>
      </c>
      <c r="CC103" s="59">
        <f t="shared" si="65"/>
        <v>851.69421671889927</v>
      </c>
      <c r="CD103" s="59">
        <f ca="1">AVERAGE(OFFSET($CC$3,0,0,'Données projet'!$E$12+1,1))-AVERAGE(OFFSET($H$3,0,0,'Données projet'!$E$12+1,1))</f>
        <v>281.84871057356037</v>
      </c>
      <c r="CE103" s="59">
        <f t="shared" si="94"/>
        <v>276.02211904126887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28.797470870440961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28.797470870440961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319</v>
      </c>
      <c r="CU103" s="17">
        <f>CT103*VLOOKUP('Données projet'!$B$13,Paramètres!$A$1:$I$89,3,0)*VLOOKUP('Données projet'!$B$13,Paramètres!$A$1:$I$89,5,0)</f>
        <v>253.79640000000001</v>
      </c>
      <c r="CV103" s="13">
        <f t="shared" si="95"/>
        <v>61.39816832228076</v>
      </c>
      <c r="CW103" s="20">
        <f t="shared" si="67"/>
        <v>548.96387316130563</v>
      </c>
      <c r="CX103" s="59">
        <f t="shared" si="68"/>
        <v>842.29720649463889</v>
      </c>
      <c r="CY103" s="59">
        <f ca="1">AVERAGE(OFFSET($CX$3,0,0,'Données projet'!$E$13+1,1))-AVERAGE(OFFSET($H$3,0,0,'Données projet'!$E$13+1,1))</f>
        <v>279.49721661620544</v>
      </c>
      <c r="CZ103" s="59">
        <f t="shared" si="96"/>
        <v>275.18739333988754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35.779570644040788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35.779570644040788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282</v>
      </c>
      <c r="DM103" s="12">
        <f>VLOOKUP(A103,'Données projet'!$A$165:$I$185,9,0)</f>
        <v>4.8</v>
      </c>
      <c r="DN103" s="12">
        <f t="array" ref="DN103">INDEX(DM:DM,MIN(IF(ISNUMBER(DM103:DM299),ROW(DM103:DM299),"")))</f>
        <v>4.8</v>
      </c>
      <c r="DO103" s="12">
        <f>IF('Données projet'!$A$166&gt;35,DO102+DN103-DW102,IF(A103&lt;'Données projet'!$A$166,$DL$205^A103,IF(A103='Données projet'!$A$166,'Données projet'!$B$166,DO102+DN103-DW102)))</f>
        <v>281.99999999999989</v>
      </c>
      <c r="DP103" s="17">
        <f>DO103*VLOOKUP('Données projet'!$B$14,Paramètres!$A$1:$I$89,3,0)*VLOOKUP('Données projet'!$B$14,Paramètres!$A$1:$I$89,5,0)</f>
        <v>285.94799999999992</v>
      </c>
      <c r="DQ103" s="13">
        <f t="shared" si="97"/>
        <v>68.222450362989363</v>
      </c>
      <c r="DR103" s="20">
        <f t="shared" si="70"/>
        <v>616.84686771553959</v>
      </c>
      <c r="DS103" s="59">
        <f t="shared" si="71"/>
        <v>910.18020104887296</v>
      </c>
      <c r="DT103" s="59">
        <f ca="1">AVERAGE(OFFSET($DS$3,0,0,'Données projet'!$E$14+1,1))-AVERAGE(OFFSET($H$3,0,0,'Données projet'!$E$14+1,1))</f>
        <v>308.80022073574963</v>
      </c>
      <c r="DU103" s="59">
        <f t="shared" si="98"/>
        <v>183.96267407004115</v>
      </c>
      <c r="DV103" s="15">
        <f>IF(ISNA(VLOOKUP(A103,'Données projet'!$A$165:$I$185,3,0)),0,VLOOKUP(A103,'Données projet'!$A$165:$I$185,3,0))</f>
        <v>16</v>
      </c>
      <c r="DW103" s="15">
        <f>IF(ISNA(VLOOKUP(A103,'Données projet'!$A$165:$I$185,4,0)),0,VLOOKUP(A103,'Données projet'!$A$165:$I$185,4,0))</f>
        <v>21</v>
      </c>
      <c r="DX103" s="16">
        <f>IF(ISNA(VLOOKUP(A103,'Données projet'!$A$165:$I$185,5,0)),0%,VLOOKUP(A103,'Données projet'!$A$165:$I$185,5,0)*VLOOKUP('Données projet'!$B$14,Paramètres!$A$1:$I$89,7,0))</f>
        <v>0.43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80.525120754305007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80.525120754305007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266.99999999999983</v>
      </c>
      <c r="EK103" s="17">
        <f>EJ103*VLOOKUP('Données projet'!$B$15,Paramètres!$A$1:$I$89,3,0)*VLOOKUP('Données projet'!$B$15,Paramètres!$A$1:$I$89,5,0)</f>
        <v>174.93839999999989</v>
      </c>
      <c r="EL103" s="13">
        <f t="shared" si="99"/>
        <v>44.194210865203175</v>
      </c>
      <c r="EM103" s="20">
        <f t="shared" si="73"/>
        <v>381.65596392356196</v>
      </c>
      <c r="EN103" s="59">
        <f t="shared" si="74"/>
        <v>674.98929725689527</v>
      </c>
      <c r="EO103" s="59">
        <f ca="1">AVERAGE(OFFSET($EN$3,0,0,'Données projet'!$E$15+1,1))-AVERAGE(OFFSET($H$3,0,0,'Données projet'!$E$15+1,1))</f>
        <v>178.71569711875242</v>
      </c>
      <c r="EP103" s="59">
        <f t="shared" si="100"/>
        <v>178.13848582064168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19.507964138040656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19.507964138040656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>
        <f>VLOOKUP(A103,'Données projet'!$A$217:$I$237,2,0)</f>
        <v>282</v>
      </c>
      <c r="FC103" s="12">
        <f>VLOOKUP(A103,'Données projet'!$A$217:$I$237,9,0)</f>
        <v>4.8</v>
      </c>
      <c r="FD103" s="12">
        <f t="array" ref="FD103">INDEX(FC:FC,MIN(IF(ISNUMBER(FC103:FC299),ROW(FC103:FC299),"")))</f>
        <v>4.8</v>
      </c>
      <c r="FE103" s="12">
        <f>IF('Données projet'!$A$218&gt;35,FE102+FD103-FM102,IF(A103&lt;'Données projet'!$A$218,$FB$205^A103,IF(A103='Données projet'!$A$218,'Données projet'!$B$218,FE102+FD103-FM102)))</f>
        <v>281.99999999999989</v>
      </c>
      <c r="FF103" s="17">
        <f>FE103*VLOOKUP('Données projet'!$B$16,Paramètres!$A$1:$I$89,3,0)*VLOOKUP('Données projet'!$B$16,Paramètres!$A$1:$I$89,5,0)</f>
        <v>237.55679999999992</v>
      </c>
      <c r="FG103" s="13">
        <f t="shared" si="101"/>
        <v>57.913551469467308</v>
      </c>
      <c r="FH103" s="20">
        <f t="shared" si="76"/>
        <v>514.61086214265538</v>
      </c>
      <c r="FI103" s="59">
        <f t="shared" si="77"/>
        <v>807.94419547598864</v>
      </c>
      <c r="FJ103" s="59">
        <f ca="1">AVERAGE(OFFSET($FI$3,0,0,'Données projet'!$E$16+1,1))-AVERAGE(OFFSET($H$3,0,0,'Données projet'!$E$16+1,1))</f>
        <v>247.22536892257716</v>
      </c>
      <c r="FK103" s="59">
        <f t="shared" si="102"/>
        <v>147.97952262756075</v>
      </c>
      <c r="FL103" s="15">
        <f>IF(ISNA(VLOOKUP(A103,'Données projet'!$A$217:$I$237,3,0)),0,VLOOKUP(A103,'Données projet'!$A$217:$I$237,3,0))</f>
        <v>16</v>
      </c>
      <c r="FM103" s="15">
        <f>IF(ISNA(VLOOKUP(A103,'Données projet'!$A$217:$I$237,4,0)),0,VLOOKUP(A103,'Données projet'!$A$217:$I$237,4,0))</f>
        <v>21</v>
      </c>
      <c r="FN103" s="16">
        <f>IF(ISNA(VLOOKUP(A103,'Données projet'!$A$217:$I$237,5,0)),0%,VLOOKUP(A103,'Données projet'!$A$217:$I$237,5,0)*VLOOKUP('Données projet'!$B$16,Paramètres!$A$1:$I$89,7,0))</f>
        <v>0.43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66.89779262665337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66.89779262665337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6">
        <f t="shared" si="56"/>
        <v>402.75821794154609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249.0000000000002</v>
      </c>
      <c r="O104" s="13">
        <f>N104*VLOOKUP('Données projet'!$B$9,Paramètres!$A$1:$I$89,3,0)*VLOOKUP('Données projet'!$B$9,Paramètres!$A$1:$I$89,5,0)</f>
        <v>217.52640000000019</v>
      </c>
      <c r="P104" s="13">
        <f t="shared" si="87"/>
        <v>53.576907690651304</v>
      </c>
      <c r="Q104" s="20">
        <f t="shared" si="107"/>
        <v>472.17159422788467</v>
      </c>
      <c r="R104" s="59">
        <f t="shared" si="55"/>
        <v>765.50492756121798</v>
      </c>
      <c r="S104" s="59">
        <f ca="1">AVERAGE(OFFSET($R$3,0,0,'Données projet'!$E$9+1,1))-AVERAGE(OFFSET($H$3,0,0,'Données projet'!$E$9+1,1))</f>
        <v>253.73326067725128</v>
      </c>
      <c r="T104" s="59">
        <f t="shared" si="88"/>
        <v>317.76427047458026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33.799543699076125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33.799543699076125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732.99999999999966</v>
      </c>
      <c r="AJ104" s="13">
        <f>AI104*VLOOKUP('Données projet'!$B$10,Paramètres!$A$1:$I$89,3,0)*VLOOKUP('Données projet'!$B$10,Paramètres!$A$1:$I$89,5,0)</f>
        <v>352.57299999999987</v>
      </c>
      <c r="AK104" s="13">
        <f t="shared" si="89"/>
        <v>82.092092597941644</v>
      </c>
      <c r="AL104" s="20">
        <f t="shared" si="58"/>
        <v>757.04170294141477</v>
      </c>
      <c r="AM104" s="59">
        <f t="shared" si="59"/>
        <v>1050.375036274748</v>
      </c>
      <c r="AN104" s="59">
        <f ca="1">AVERAGE(OFFSET($AM$3,0,0,'Données projet'!$E$10+1,1))-AVERAGE(OFFSET($H$3,0,0,'Données projet'!$E$10+1,1))</f>
        <v>349.65790906807746</v>
      </c>
      <c r="AO104" s="59">
        <f t="shared" si="90"/>
        <v>291.88925884278888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83.464687139598908</v>
      </c>
      <c r="AV104" s="21">
        <f>EXP(-LN(2)/25)*AV103+(1-EXP(-LN(2)/25))/(LN(2)/25)*Calculateur!AQ104*Calculateur!AS104*VLOOKUP('Données projet'!$B$10,Paramètres!$A$1:$I$89,3,0)*0.475*44/12</f>
        <v>5.7531749145505398</v>
      </c>
      <c r="AW104" s="21">
        <f>EXP(-LN(2)/2)*AW103+(1-EXP(-LN(2)/2))/(LN(2)/2)*AQ104*AT104*VLOOKUP('Données projet'!$B$10,Paramètres!$A$1:$I$89,3,0)*0.475*44/12</f>
        <v>1.0507201136241732E-12</v>
      </c>
      <c r="AX104" s="21">
        <f t="shared" si="60"/>
        <v>89.217862054150501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319</v>
      </c>
      <c r="BE104" s="13">
        <f>BD104*VLOOKUP('Données projet'!$B$11,Paramètres!$A$1:$I$89,3,0)*VLOOKUP('Données projet'!$B$11,Paramètres!$A$1:$I$89,5,0)</f>
        <v>253.79640000000001</v>
      </c>
      <c r="BF104" s="13">
        <f t="shared" si="91"/>
        <v>61.39816832228076</v>
      </c>
      <c r="BG104" s="20">
        <f t="shared" si="61"/>
        <v>548.96387316130563</v>
      </c>
      <c r="BH104" s="59">
        <f t="shared" si="62"/>
        <v>842.29720649463889</v>
      </c>
      <c r="BI104" s="59">
        <f ca="1">AVERAGE(OFFSET($BH$3,0,0,'Données projet'!$E$11+1,1))-AVERAGE(OFFSET($H$3,0,0,'Données projet'!$E$11+1,1))</f>
        <v>279.49721661620544</v>
      </c>
      <c r="BJ104" s="59">
        <f t="shared" si="92"/>
        <v>275.18739333988754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35.077955087094359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35.077955087094359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266.99999999999983</v>
      </c>
      <c r="BZ104" s="13">
        <f>BY104*VLOOKUP('Données projet'!$B$12,Paramètres!$A$1:$I$89,3,0)*VLOOKUP('Données projet'!$B$12,Paramètres!$A$1:$I$89,5,0)</f>
        <v>258.24239999999986</v>
      </c>
      <c r="CA104" s="13">
        <f t="shared" si="93"/>
        <v>62.347580891234152</v>
      </c>
      <c r="CB104" s="20">
        <f t="shared" si="64"/>
        <v>558.3608833855659</v>
      </c>
      <c r="CC104" s="59">
        <f t="shared" si="65"/>
        <v>851.69421671889927</v>
      </c>
      <c r="CD104" s="59">
        <f ca="1">AVERAGE(OFFSET($CC$3,0,0,'Données projet'!$E$12+1,1))-AVERAGE(OFFSET($H$3,0,0,'Données projet'!$E$12+1,1))</f>
        <v>281.84871057356037</v>
      </c>
      <c r="CE104" s="59">
        <f t="shared" si="94"/>
        <v>276.02211904126887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28.232770031394473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28.232770031394473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319</v>
      </c>
      <c r="CU104" s="17">
        <f>CT104*VLOOKUP('Données projet'!$B$13,Paramètres!$A$1:$I$89,3,0)*VLOOKUP('Données projet'!$B$13,Paramètres!$A$1:$I$89,5,0)</f>
        <v>253.79640000000001</v>
      </c>
      <c r="CV104" s="13">
        <f t="shared" si="95"/>
        <v>61.39816832228076</v>
      </c>
      <c r="CW104" s="20">
        <f t="shared" si="67"/>
        <v>548.96387316130563</v>
      </c>
      <c r="CX104" s="59">
        <f t="shared" si="68"/>
        <v>842.29720649463889</v>
      </c>
      <c r="CY104" s="59">
        <f ca="1">AVERAGE(OFFSET($CX$3,0,0,'Données projet'!$E$13+1,1))-AVERAGE(OFFSET($H$3,0,0,'Données projet'!$E$13+1,1))</f>
        <v>279.49721661620544</v>
      </c>
      <c r="CZ104" s="59">
        <f t="shared" si="96"/>
        <v>275.18739333988754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35.077955087094359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35.077955087094359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4.5999999999999996</v>
      </c>
      <c r="DO104" s="12">
        <f>IF('Données projet'!$A$166&gt;35,DO103+DN104-DW103,IF(A104&lt;'Données projet'!$A$166,$DL$205^A104,IF(A104='Données projet'!$A$166,'Données projet'!$B$166,DO103+DN104-DW103)))</f>
        <v>265.59999999999991</v>
      </c>
      <c r="DP104" s="17">
        <f>DO104*VLOOKUP('Données projet'!$B$14,Paramètres!$A$1:$I$89,3,0)*VLOOKUP('Données projet'!$B$14,Paramètres!$A$1:$I$89,5,0)</f>
        <v>269.31839999999994</v>
      </c>
      <c r="DQ104" s="13">
        <f t="shared" si="97"/>
        <v>64.70459529265311</v>
      </c>
      <c r="DR104" s="20">
        <f t="shared" si="70"/>
        <v>581.75671680137077</v>
      </c>
      <c r="DS104" s="59">
        <f t="shared" si="71"/>
        <v>875.09005013470414</v>
      </c>
      <c r="DT104" s="59">
        <f ca="1">AVERAGE(OFFSET($DS$3,0,0,'Données projet'!$E$14+1,1))-AVERAGE(OFFSET($H$3,0,0,'Données projet'!$E$14+1,1))</f>
        <v>308.80022073574963</v>
      </c>
      <c r="DU104" s="59">
        <f t="shared" si="98"/>
        <v>183.96267407004115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78.946072251787001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78.946072251787001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266.99999999999983</v>
      </c>
      <c r="EK104" s="17">
        <f>EJ104*VLOOKUP('Données projet'!$B$15,Paramètres!$A$1:$I$89,3,0)*VLOOKUP('Données projet'!$B$15,Paramètres!$A$1:$I$89,5,0)</f>
        <v>174.93839999999989</v>
      </c>
      <c r="EL104" s="13">
        <f t="shared" si="99"/>
        <v>44.194210865203175</v>
      </c>
      <c r="EM104" s="20">
        <f t="shared" si="73"/>
        <v>381.65596392356196</v>
      </c>
      <c r="EN104" s="59">
        <f t="shared" si="74"/>
        <v>674.98929725689527</v>
      </c>
      <c r="EO104" s="59">
        <f ca="1">AVERAGE(OFFSET($EN$3,0,0,'Données projet'!$E$15+1,1))-AVERAGE(OFFSET($H$3,0,0,'Données projet'!$E$15+1,1))</f>
        <v>178.71569711875242</v>
      </c>
      <c r="EP104" s="59">
        <f t="shared" si="100"/>
        <v>178.13848582064168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19.125424859976906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19.125424859976906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4.5999999999999996</v>
      </c>
      <c r="FE104" s="12">
        <f>IF('Données projet'!$A$218&gt;35,FE103+FD104-FM103,IF(A104&lt;'Données projet'!$A$218,$FB$205^A104,IF(A104='Données projet'!$A$218,'Données projet'!$B$218,FE103+FD104-FM103)))</f>
        <v>265.59999999999991</v>
      </c>
      <c r="FF104" s="17">
        <f>FE104*VLOOKUP('Données projet'!$B$16,Paramètres!$A$1:$I$89,3,0)*VLOOKUP('Données projet'!$B$16,Paramètres!$A$1:$I$89,5,0)</f>
        <v>223.74143999999993</v>
      </c>
      <c r="FG104" s="13">
        <f t="shared" si="101"/>
        <v>54.927269393786155</v>
      </c>
      <c r="FH104" s="20">
        <f t="shared" si="76"/>
        <v>485.34800219417735</v>
      </c>
      <c r="FI104" s="59">
        <f t="shared" si="77"/>
        <v>778.68133552751067</v>
      </c>
      <c r="FJ104" s="59">
        <f ca="1">AVERAGE(OFFSET($FI$3,0,0,'Données projet'!$E$16+1,1))-AVERAGE(OFFSET($H$3,0,0,'Données projet'!$E$16+1,1))</f>
        <v>247.22536892257716</v>
      </c>
      <c r="FK104" s="59">
        <f t="shared" si="102"/>
        <v>147.97952262756075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65.585967716869177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65.585967716869177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6">
        <f t="shared" si="56"/>
        <v>403.81291167039103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249.0000000000002</v>
      </c>
      <c r="O105" s="13">
        <f>N105*VLOOKUP('Données projet'!$B$9,Paramètres!$A$1:$I$89,3,0)*VLOOKUP('Données projet'!$B$9,Paramètres!$A$1:$I$89,5,0)</f>
        <v>217.52640000000019</v>
      </c>
      <c r="P105" s="13">
        <f t="shared" si="87"/>
        <v>53.576907690651304</v>
      </c>
      <c r="Q105" s="20">
        <f t="shared" si="107"/>
        <v>472.17159422788467</v>
      </c>
      <c r="R105" s="59">
        <f t="shared" si="55"/>
        <v>765.50492756121798</v>
      </c>
      <c r="S105" s="59">
        <f ca="1">AVERAGE(OFFSET($R$3,0,0,'Données projet'!$E$9+1,1))-AVERAGE(OFFSET($H$3,0,0,'Données projet'!$E$9+1,1))</f>
        <v>253.73326067725128</v>
      </c>
      <c r="T105" s="59">
        <f t="shared" si="88"/>
        <v>317.76427047458026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33.136755262823272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33.136755262823272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732.99999999999966</v>
      </c>
      <c r="AJ105" s="13">
        <f>AI105*VLOOKUP('Données projet'!$B$10,Paramètres!$A$1:$I$89,3,0)*VLOOKUP('Données projet'!$B$10,Paramètres!$A$1:$I$89,5,0)</f>
        <v>352.57299999999987</v>
      </c>
      <c r="AK105" s="13">
        <f t="shared" si="89"/>
        <v>82.092092597941644</v>
      </c>
      <c r="AL105" s="20">
        <f t="shared" si="58"/>
        <v>757.04170294141477</v>
      </c>
      <c r="AM105" s="59">
        <f t="shared" si="59"/>
        <v>1050.375036274748</v>
      </c>
      <c r="AN105" s="59">
        <f ca="1">AVERAGE(OFFSET($AM$3,0,0,'Données projet'!$E$10+1,1))-AVERAGE(OFFSET($H$3,0,0,'Données projet'!$E$10+1,1))</f>
        <v>349.65790906807746</v>
      </c>
      <c r="AO105" s="59">
        <f t="shared" si="90"/>
        <v>291.88925884278888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81.827995533223742</v>
      </c>
      <c r="AV105" s="21">
        <f>EXP(-LN(2)/25)*AV104+(1-EXP(-LN(2)/25))/(LN(2)/25)*Calculateur!AQ105*Calculateur!AS105*VLOOKUP('Données projet'!$B$10,Paramètres!$A$1:$I$89,3,0)*0.475*44/12</f>
        <v>5.5958540439658355</v>
      </c>
      <c r="AW105" s="21">
        <f>EXP(-LN(2)/2)*AW104+(1-EXP(-LN(2)/2))/(LN(2)/2)*AQ105*AT105*VLOOKUP('Données projet'!$B$10,Paramètres!$A$1:$I$89,3,0)*0.475*44/12</f>
        <v>7.4297131747275263E-13</v>
      </c>
      <c r="AX105" s="21">
        <f t="shared" si="60"/>
        <v>87.42384957719031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319</v>
      </c>
      <c r="BE105" s="13">
        <f>BD105*VLOOKUP('Données projet'!$B$11,Paramètres!$A$1:$I$89,3,0)*VLOOKUP('Données projet'!$B$11,Paramètres!$A$1:$I$89,5,0)</f>
        <v>253.79640000000001</v>
      </c>
      <c r="BF105" s="13">
        <f t="shared" si="91"/>
        <v>61.39816832228076</v>
      </c>
      <c r="BG105" s="20">
        <f t="shared" si="61"/>
        <v>548.96387316130563</v>
      </c>
      <c r="BH105" s="59">
        <f t="shared" si="62"/>
        <v>842.29720649463889</v>
      </c>
      <c r="BI105" s="59">
        <f ca="1">AVERAGE(OFFSET($BH$3,0,0,'Données projet'!$E$11+1,1))-AVERAGE(OFFSET($H$3,0,0,'Données projet'!$E$11+1,1))</f>
        <v>279.49721661620544</v>
      </c>
      <c r="BJ105" s="59">
        <f t="shared" si="92"/>
        <v>275.18739333988754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34.390097783276417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34.390097783276417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266.99999999999983</v>
      </c>
      <c r="BZ105" s="13">
        <f>BY105*VLOOKUP('Données projet'!$B$12,Paramètres!$A$1:$I$89,3,0)*VLOOKUP('Données projet'!$B$12,Paramètres!$A$1:$I$89,5,0)</f>
        <v>258.24239999999986</v>
      </c>
      <c r="CA105" s="13">
        <f t="shared" si="93"/>
        <v>62.347580891234152</v>
      </c>
      <c r="CB105" s="20">
        <f t="shared" si="64"/>
        <v>558.3608833855659</v>
      </c>
      <c r="CC105" s="59">
        <f t="shared" si="65"/>
        <v>851.69421671889927</v>
      </c>
      <c r="CD105" s="59">
        <f ca="1">AVERAGE(OFFSET($CC$3,0,0,'Données projet'!$E$12+1,1))-AVERAGE(OFFSET($H$3,0,0,'Données projet'!$E$12+1,1))</f>
        <v>281.84871057356037</v>
      </c>
      <c r="CE105" s="59">
        <f t="shared" si="94"/>
        <v>276.02211904126887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27.679142631368183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27.679142631368183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319</v>
      </c>
      <c r="CU105" s="17">
        <f>CT105*VLOOKUP('Données projet'!$B$13,Paramètres!$A$1:$I$89,3,0)*VLOOKUP('Données projet'!$B$13,Paramètres!$A$1:$I$89,5,0)</f>
        <v>253.79640000000001</v>
      </c>
      <c r="CV105" s="13">
        <f t="shared" si="95"/>
        <v>61.39816832228076</v>
      </c>
      <c r="CW105" s="20">
        <f t="shared" si="67"/>
        <v>548.96387316130563</v>
      </c>
      <c r="CX105" s="59">
        <f t="shared" si="68"/>
        <v>842.29720649463889</v>
      </c>
      <c r="CY105" s="59">
        <f ca="1">AVERAGE(OFFSET($CX$3,0,0,'Données projet'!$E$13+1,1))-AVERAGE(OFFSET($H$3,0,0,'Données projet'!$E$13+1,1))</f>
        <v>279.49721661620544</v>
      </c>
      <c r="CZ105" s="59">
        <f t="shared" si="96"/>
        <v>275.18739333988754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34.390097783276417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34.390097783276417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4.5999999999999996</v>
      </c>
      <c r="DO105" s="12">
        <f>IF('Données projet'!$A$166&gt;35,DO104+DN105-DW104,IF(A105&lt;'Données projet'!$A$166,$DL$205^A105,IF(A105='Données projet'!$A$166,'Données projet'!$B$166,DO104+DN105-DW104)))</f>
        <v>270.19999999999993</v>
      </c>
      <c r="DP105" s="17">
        <f>DO105*VLOOKUP('Données projet'!$B$14,Paramètres!$A$1:$I$89,3,0)*VLOOKUP('Données projet'!$B$14,Paramètres!$A$1:$I$89,5,0)</f>
        <v>273.98279999999994</v>
      </c>
      <c r="DQ105" s="13">
        <f t="shared" si="97"/>
        <v>65.693798259477774</v>
      </c>
      <c r="DR105" s="20">
        <f t="shared" si="70"/>
        <v>591.6034086352571</v>
      </c>
      <c r="DS105" s="59">
        <f t="shared" si="71"/>
        <v>884.93674196859047</v>
      </c>
      <c r="DT105" s="59">
        <f ca="1">AVERAGE(OFFSET($DS$3,0,0,'Données projet'!$E$14+1,1))-AVERAGE(OFFSET($H$3,0,0,'Données projet'!$E$14+1,1))</f>
        <v>308.80022073574963</v>
      </c>
      <c r="DU105" s="59">
        <f t="shared" si="98"/>
        <v>183.96267407004115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77.397987927278876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77.397987927278876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266.99999999999983</v>
      </c>
      <c r="EK105" s="17">
        <f>EJ105*VLOOKUP('Données projet'!$B$15,Paramètres!$A$1:$I$89,3,0)*VLOOKUP('Données projet'!$B$15,Paramètres!$A$1:$I$89,5,0)</f>
        <v>174.93839999999989</v>
      </c>
      <c r="EL105" s="13">
        <f t="shared" si="99"/>
        <v>44.194210865203175</v>
      </c>
      <c r="EM105" s="20">
        <f t="shared" si="73"/>
        <v>381.65596392356196</v>
      </c>
      <c r="EN105" s="59">
        <f t="shared" si="74"/>
        <v>674.98929725689527</v>
      </c>
      <c r="EO105" s="59">
        <f ca="1">AVERAGE(OFFSET($EN$3,0,0,'Données projet'!$E$15+1,1))-AVERAGE(OFFSET($H$3,0,0,'Données projet'!$E$15+1,1))</f>
        <v>178.71569711875242</v>
      </c>
      <c r="EP105" s="59">
        <f t="shared" si="100"/>
        <v>178.13848582064168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18.750386943830065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18.750386943830065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4.5999999999999996</v>
      </c>
      <c r="FE105" s="12">
        <f>IF('Données projet'!$A$218&gt;35,FE104+FD105-FM104,IF(A105&lt;'Données projet'!$A$218,$FB$205^A105,IF(A105='Données projet'!$A$218,'Données projet'!$B$218,FE104+FD105-FM104)))</f>
        <v>270.19999999999993</v>
      </c>
      <c r="FF105" s="17">
        <f>FE105*VLOOKUP('Données projet'!$B$16,Paramètres!$A$1:$I$89,3,0)*VLOOKUP('Données projet'!$B$16,Paramètres!$A$1:$I$89,5,0)</f>
        <v>227.61647999999994</v>
      </c>
      <c r="FG105" s="13">
        <f t="shared" si="101"/>
        <v>55.766996736151235</v>
      </c>
      <c r="FH105" s="20">
        <f t="shared" si="76"/>
        <v>493.55955531546334</v>
      </c>
      <c r="FI105" s="59">
        <f t="shared" si="77"/>
        <v>786.89288864879666</v>
      </c>
      <c r="FJ105" s="59">
        <f ca="1">AVERAGE(OFFSET($FI$3,0,0,'Données projet'!$E$16+1,1))-AVERAGE(OFFSET($H$3,0,0,'Données projet'!$E$16+1,1))</f>
        <v>247.22536892257716</v>
      </c>
      <c r="FK105" s="59">
        <f t="shared" si="102"/>
        <v>147.97952262756075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64.29986689343167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64.29986689343167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6">
        <f t="shared" si="56"/>
        <v>404.8673579556679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249.0000000000002</v>
      </c>
      <c r="O106" s="13">
        <f>N106*VLOOKUP('Données projet'!$B$9,Paramètres!$A$1:$I$89,3,0)*VLOOKUP('Données projet'!$B$9,Paramètres!$A$1:$I$89,5,0)</f>
        <v>217.52640000000019</v>
      </c>
      <c r="P106" s="13">
        <f t="shared" si="87"/>
        <v>53.576907690651304</v>
      </c>
      <c r="Q106" s="20">
        <f t="shared" si="107"/>
        <v>472.17159422788467</v>
      </c>
      <c r="R106" s="59">
        <f t="shared" si="55"/>
        <v>765.50492756121798</v>
      </c>
      <c r="S106" s="59">
        <f ca="1">AVERAGE(OFFSET($R$3,0,0,'Données projet'!$E$9+1,1))-AVERAGE(OFFSET($H$3,0,0,'Données projet'!$E$9+1,1))</f>
        <v>253.73326067725128</v>
      </c>
      <c r="T106" s="59">
        <f t="shared" si="88"/>
        <v>317.76427047458026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32.486963703544305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32.486963703544305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732.99999999999966</v>
      </c>
      <c r="AJ106" s="13">
        <f>AI106*VLOOKUP('Données projet'!$B$10,Paramètres!$A$1:$I$89,3,0)*VLOOKUP('Données projet'!$B$10,Paramètres!$A$1:$I$89,5,0)</f>
        <v>352.57299999999987</v>
      </c>
      <c r="AK106" s="13">
        <f t="shared" si="89"/>
        <v>82.092092597941644</v>
      </c>
      <c r="AL106" s="20">
        <f t="shared" si="58"/>
        <v>757.04170294141477</v>
      </c>
      <c r="AM106" s="59">
        <f t="shared" si="59"/>
        <v>1050.375036274748</v>
      </c>
      <c r="AN106" s="59">
        <f ca="1">AVERAGE(OFFSET($AM$3,0,0,'Données projet'!$E$10+1,1))-AVERAGE(OFFSET($H$3,0,0,'Données projet'!$E$10+1,1))</f>
        <v>349.65790906807746</v>
      </c>
      <c r="AO106" s="59">
        <f t="shared" si="90"/>
        <v>291.88925884278888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80.223398450966286</v>
      </c>
      <c r="AV106" s="21">
        <f>EXP(-LN(2)/25)*AV105+(1-EXP(-LN(2)/25))/(LN(2)/25)*Calculateur!AQ106*Calculateur!AS106*VLOOKUP('Données projet'!$B$10,Paramètres!$A$1:$I$89,3,0)*0.475*44/12</f>
        <v>5.4428351208604147</v>
      </c>
      <c r="AW106" s="21">
        <f>EXP(-LN(2)/2)*AW105+(1-EXP(-LN(2)/2))/(LN(2)/2)*AQ106*AT106*VLOOKUP('Données projet'!$B$10,Paramètres!$A$1:$I$89,3,0)*0.475*44/12</f>
        <v>5.2536005681208662E-13</v>
      </c>
      <c r="AX106" s="21">
        <f t="shared" si="60"/>
        <v>85.66623357182722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319</v>
      </c>
      <c r="BE106" s="13">
        <f>BD106*VLOOKUP('Données projet'!$B$11,Paramètres!$A$1:$I$89,3,0)*VLOOKUP('Données projet'!$B$11,Paramètres!$A$1:$I$89,5,0)</f>
        <v>253.79640000000001</v>
      </c>
      <c r="BF106" s="13">
        <f t="shared" si="91"/>
        <v>61.39816832228076</v>
      </c>
      <c r="BG106" s="20">
        <f t="shared" si="61"/>
        <v>548.96387316130563</v>
      </c>
      <c r="BH106" s="59">
        <f t="shared" si="62"/>
        <v>842.29720649463889</v>
      </c>
      <c r="BI106" s="59">
        <f ca="1">AVERAGE(OFFSET($BH$3,0,0,'Données projet'!$E$11+1,1))-AVERAGE(OFFSET($H$3,0,0,'Données projet'!$E$11+1,1))</f>
        <v>279.49721661620544</v>
      </c>
      <c r="BJ106" s="59">
        <f t="shared" si="92"/>
        <v>275.18739333988754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33.715728941634815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33.715728941634815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266.99999999999983</v>
      </c>
      <c r="BZ106" s="13">
        <f>BY106*VLOOKUP('Données projet'!$B$12,Paramètres!$A$1:$I$89,3,0)*VLOOKUP('Données projet'!$B$12,Paramètres!$A$1:$I$89,5,0)</f>
        <v>258.24239999999986</v>
      </c>
      <c r="CA106" s="13">
        <f t="shared" si="93"/>
        <v>62.347580891234152</v>
      </c>
      <c r="CB106" s="20">
        <f t="shared" si="64"/>
        <v>558.3608833855659</v>
      </c>
      <c r="CC106" s="59">
        <f t="shared" si="65"/>
        <v>851.69421671889927</v>
      </c>
      <c r="CD106" s="59">
        <f ca="1">AVERAGE(OFFSET($CC$3,0,0,'Données projet'!$E$12+1,1))-AVERAGE(OFFSET($H$3,0,0,'Données projet'!$E$12+1,1))</f>
        <v>281.84871057356037</v>
      </c>
      <c r="CE106" s="59">
        <f t="shared" si="94"/>
        <v>276.02211904126887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27.13637152697704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27.13637152697704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319</v>
      </c>
      <c r="CU106" s="17">
        <f>CT106*VLOOKUP('Données projet'!$B$13,Paramètres!$A$1:$I$89,3,0)*VLOOKUP('Données projet'!$B$13,Paramètres!$A$1:$I$89,5,0)</f>
        <v>253.79640000000001</v>
      </c>
      <c r="CV106" s="13">
        <f t="shared" si="95"/>
        <v>61.39816832228076</v>
      </c>
      <c r="CW106" s="20">
        <f t="shared" si="67"/>
        <v>548.96387316130563</v>
      </c>
      <c r="CX106" s="59">
        <f t="shared" si="68"/>
        <v>842.29720649463889</v>
      </c>
      <c r="CY106" s="59">
        <f ca="1">AVERAGE(OFFSET($CX$3,0,0,'Données projet'!$E$13+1,1))-AVERAGE(OFFSET($H$3,0,0,'Données projet'!$E$13+1,1))</f>
        <v>279.49721661620544</v>
      </c>
      <c r="CZ106" s="59">
        <f t="shared" si="96"/>
        <v>275.18739333988754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33.715728941634815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33.715728941634815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4.5999999999999996</v>
      </c>
      <c r="DO106" s="12">
        <f>IF('Données projet'!$A$166&gt;35,DO105+DN106-DW105,IF(A106&lt;'Données projet'!$A$166,$DL$205^A106,IF(A106='Données projet'!$A$166,'Données projet'!$B$166,DO105+DN106-DW105)))</f>
        <v>274.79999999999995</v>
      </c>
      <c r="DP106" s="17">
        <f>DO106*VLOOKUP('Données projet'!$B$14,Paramètres!$A$1:$I$89,3,0)*VLOOKUP('Données projet'!$B$14,Paramètres!$A$1:$I$89,5,0)</f>
        <v>278.6472</v>
      </c>
      <c r="DQ106" s="13">
        <f t="shared" si="97"/>
        <v>66.681042819901123</v>
      </c>
      <c r="DR106" s="20">
        <f t="shared" si="70"/>
        <v>601.44668957799445</v>
      </c>
      <c r="DS106" s="59">
        <f t="shared" si="71"/>
        <v>894.78002291132771</v>
      </c>
      <c r="DT106" s="59">
        <f ca="1">AVERAGE(OFFSET($DS$3,0,0,'Données projet'!$E$14+1,1))-AVERAGE(OFFSET($H$3,0,0,'Données projet'!$E$14+1,1))</f>
        <v>308.80022073574963</v>
      </c>
      <c r="DU106" s="59">
        <f t="shared" si="98"/>
        <v>183.96267407004115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75.880260592136153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75.880260592136153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266.99999999999983</v>
      </c>
      <c r="EK106" s="17">
        <f>EJ106*VLOOKUP('Données projet'!$B$15,Paramètres!$A$1:$I$89,3,0)*VLOOKUP('Données projet'!$B$15,Paramètres!$A$1:$I$89,5,0)</f>
        <v>174.93839999999989</v>
      </c>
      <c r="EL106" s="13">
        <f t="shared" si="99"/>
        <v>44.194210865203175</v>
      </c>
      <c r="EM106" s="20">
        <f t="shared" si="73"/>
        <v>381.65596392356196</v>
      </c>
      <c r="EN106" s="59">
        <f t="shared" si="74"/>
        <v>674.98929725689527</v>
      </c>
      <c r="EO106" s="59">
        <f ca="1">AVERAGE(OFFSET($EN$3,0,0,'Données projet'!$E$15+1,1))-AVERAGE(OFFSET($H$3,0,0,'Données projet'!$E$15+1,1))</f>
        <v>178.71569711875242</v>
      </c>
      <c r="EP106" s="59">
        <f t="shared" si="100"/>
        <v>178.13848582064168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18.382703292468321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18.382703292468321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4.5999999999999996</v>
      </c>
      <c r="FE106" s="12">
        <f>IF('Données projet'!$A$218&gt;35,FE105+FD106-FM105,IF(A106&lt;'Données projet'!$A$218,$FB$205^A106,IF(A106='Données projet'!$A$218,'Données projet'!$B$218,FE105+FD106-FM105)))</f>
        <v>274.79999999999995</v>
      </c>
      <c r="FF106" s="17">
        <f>FE106*VLOOKUP('Données projet'!$B$16,Paramètres!$A$1:$I$89,3,0)*VLOOKUP('Données projet'!$B$16,Paramètres!$A$1:$I$89,5,0)</f>
        <v>231.49152000000001</v>
      </c>
      <c r="FG106" s="13">
        <f t="shared" si="101"/>
        <v>56.605061601291979</v>
      </c>
      <c r="FH106" s="20">
        <f t="shared" si="76"/>
        <v>501.76821295558352</v>
      </c>
      <c r="FI106" s="59">
        <f t="shared" si="77"/>
        <v>795.10154628891678</v>
      </c>
      <c r="FJ106" s="59">
        <f ca="1">AVERAGE(OFFSET($FI$3,0,0,'Données projet'!$E$16+1,1))-AVERAGE(OFFSET($H$3,0,0,'Données projet'!$E$16+1,1))</f>
        <v>247.22536892257716</v>
      </c>
      <c r="FK106" s="59">
        <f t="shared" si="102"/>
        <v>147.97952262756075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63.038985722697717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63.038985722697717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6">
        <f t="shared" si="56"/>
        <v>405.92155947794635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249.0000000000002</v>
      </c>
      <c r="O107" s="13">
        <f>N107*VLOOKUP('Données projet'!$B$9,Paramètres!$A$1:$I$89,3,0)*VLOOKUP('Données projet'!$B$9,Paramètres!$A$1:$I$89,5,0)</f>
        <v>217.52640000000019</v>
      </c>
      <c r="P107" s="13">
        <f t="shared" si="87"/>
        <v>53.576907690651304</v>
      </c>
      <c r="Q107" s="20">
        <f t="shared" si="107"/>
        <v>472.17159422788467</v>
      </c>
      <c r="R107" s="59">
        <f t="shared" si="55"/>
        <v>765.50492756121798</v>
      </c>
      <c r="S107" s="59">
        <f ca="1">AVERAGE(OFFSET($R$3,0,0,'Données projet'!$E$9+1,1))-AVERAGE(OFFSET($H$3,0,0,'Données projet'!$E$9+1,1))</f>
        <v>253.73326067725128</v>
      </c>
      <c r="T107" s="59">
        <f t="shared" si="88"/>
        <v>317.76427047458026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31.849914160409082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31.849914160409082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732.99999999999966</v>
      </c>
      <c r="AJ107" s="13">
        <f>AI107*VLOOKUP('Données projet'!$B$10,Paramètres!$A$1:$I$89,3,0)*VLOOKUP('Données projet'!$B$10,Paramètres!$A$1:$I$89,5,0)</f>
        <v>352.57299999999987</v>
      </c>
      <c r="AK107" s="13">
        <f t="shared" si="89"/>
        <v>82.092092597941644</v>
      </c>
      <c r="AL107" s="20">
        <f t="shared" si="58"/>
        <v>757.04170294141477</v>
      </c>
      <c r="AM107" s="59">
        <f t="shared" si="59"/>
        <v>1050.375036274748</v>
      </c>
      <c r="AN107" s="59">
        <f ca="1">AVERAGE(OFFSET($AM$3,0,0,'Données projet'!$E$10+1,1))-AVERAGE(OFFSET($H$3,0,0,'Données projet'!$E$10+1,1))</f>
        <v>349.65790906807746</v>
      </c>
      <c r="AO107" s="59">
        <f t="shared" si="90"/>
        <v>291.88925884278888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78.650266538784308</v>
      </c>
      <c r="AV107" s="21">
        <f>EXP(-LN(2)/25)*AV106+(1-EXP(-LN(2)/25))/(LN(2)/25)*Calculateur!AQ107*Calculateur!AS107*VLOOKUP('Données projet'!$B$10,Paramètres!$A$1:$I$89,3,0)*0.475*44/12</f>
        <v>5.2940005082542276</v>
      </c>
      <c r="AW107" s="21">
        <f>EXP(-LN(2)/2)*AW106+(1-EXP(-LN(2)/2))/(LN(2)/2)*AQ107*AT107*VLOOKUP('Données projet'!$B$10,Paramètres!$A$1:$I$89,3,0)*0.475*44/12</f>
        <v>3.7148565873637631E-13</v>
      </c>
      <c r="AX107" s="21">
        <f t="shared" si="60"/>
        <v>83.944267047038906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319</v>
      </c>
      <c r="BE107" s="13">
        <f>BD107*VLOOKUP('Données projet'!$B$11,Paramètres!$A$1:$I$89,3,0)*VLOOKUP('Données projet'!$B$11,Paramètres!$A$1:$I$89,5,0)</f>
        <v>253.79640000000001</v>
      </c>
      <c r="BF107" s="13">
        <f t="shared" si="91"/>
        <v>61.39816832228076</v>
      </c>
      <c r="BG107" s="20">
        <f t="shared" si="61"/>
        <v>548.96387316130563</v>
      </c>
      <c r="BH107" s="59">
        <f t="shared" si="62"/>
        <v>842.29720649463889</v>
      </c>
      <c r="BI107" s="59">
        <f ca="1">AVERAGE(OFFSET($BH$3,0,0,'Données projet'!$E$11+1,1))-AVERAGE(OFFSET($H$3,0,0,'Données projet'!$E$11+1,1))</f>
        <v>279.49721661620544</v>
      </c>
      <c r="BJ107" s="59">
        <f t="shared" si="92"/>
        <v>275.18739333988754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33.054584061653429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33.054584061653429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266.99999999999983</v>
      </c>
      <c r="BZ107" s="13">
        <f>BY107*VLOOKUP('Données projet'!$B$12,Paramètres!$A$1:$I$89,3,0)*VLOOKUP('Données projet'!$B$12,Paramètres!$A$1:$I$89,5,0)</f>
        <v>258.24239999999986</v>
      </c>
      <c r="CA107" s="13">
        <f t="shared" si="93"/>
        <v>62.347580891234152</v>
      </c>
      <c r="CB107" s="20">
        <f t="shared" si="64"/>
        <v>558.3608833855659</v>
      </c>
      <c r="CC107" s="59">
        <f t="shared" si="65"/>
        <v>851.69421671889927</v>
      </c>
      <c r="CD107" s="59">
        <f ca="1">AVERAGE(OFFSET($CC$3,0,0,'Données projet'!$E$12+1,1))-AVERAGE(OFFSET($H$3,0,0,'Données projet'!$E$12+1,1))</f>
        <v>281.84871057356037</v>
      </c>
      <c r="CE107" s="59">
        <f t="shared" si="94"/>
        <v>276.02211904126887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26.60424383288532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26.60424383288532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319</v>
      </c>
      <c r="CU107" s="17">
        <f>CT107*VLOOKUP('Données projet'!$B$13,Paramètres!$A$1:$I$89,3,0)*VLOOKUP('Données projet'!$B$13,Paramètres!$A$1:$I$89,5,0)</f>
        <v>253.79640000000001</v>
      </c>
      <c r="CV107" s="13">
        <f t="shared" si="95"/>
        <v>61.39816832228076</v>
      </c>
      <c r="CW107" s="20">
        <f t="shared" si="67"/>
        <v>548.96387316130563</v>
      </c>
      <c r="CX107" s="59">
        <f t="shared" si="68"/>
        <v>842.29720649463889</v>
      </c>
      <c r="CY107" s="59">
        <f ca="1">AVERAGE(OFFSET($CX$3,0,0,'Données projet'!$E$13+1,1))-AVERAGE(OFFSET($H$3,0,0,'Données projet'!$E$13+1,1))</f>
        <v>279.49721661620544</v>
      </c>
      <c r="CZ107" s="59">
        <f t="shared" si="96"/>
        <v>275.18739333988754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33.054584061653429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33.054584061653429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4.5999999999999996</v>
      </c>
      <c r="DO107" s="12">
        <f>IF('Données projet'!$A$166&gt;35,DO106+DN107-DW106,IF(A107&lt;'Données projet'!$A$166,$DL$205^A107,IF(A107='Données projet'!$A$166,'Données projet'!$B$166,DO106+DN107-DW106)))</f>
        <v>279.39999999999998</v>
      </c>
      <c r="DP107" s="17">
        <f>DO107*VLOOKUP('Données projet'!$B$14,Paramètres!$A$1:$I$89,3,0)*VLOOKUP('Données projet'!$B$14,Paramètres!$A$1:$I$89,5,0)</f>
        <v>283.3116</v>
      </c>
      <c r="DQ107" s="13">
        <f t="shared" si="97"/>
        <v>67.666365540271272</v>
      </c>
      <c r="DR107" s="20">
        <f t="shared" si="70"/>
        <v>611.28662331597241</v>
      </c>
      <c r="DS107" s="59">
        <f t="shared" si="71"/>
        <v>904.61995664930578</v>
      </c>
      <c r="DT107" s="59">
        <f ca="1">AVERAGE(OFFSET($DS$3,0,0,'Données projet'!$E$14+1,1))-AVERAGE(OFFSET($H$3,0,0,'Données projet'!$E$14+1,1))</f>
        <v>308.80022073574963</v>
      </c>
      <c r="DU107" s="59">
        <f t="shared" si="98"/>
        <v>183.96267407004115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74.392294964313322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74.392294964313322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266.99999999999983</v>
      </c>
      <c r="EK107" s="17">
        <f>EJ107*VLOOKUP('Données projet'!$B$15,Paramètres!$A$1:$I$89,3,0)*VLOOKUP('Données projet'!$B$15,Paramètres!$A$1:$I$89,5,0)</f>
        <v>174.93839999999989</v>
      </c>
      <c r="EL107" s="13">
        <f t="shared" si="99"/>
        <v>44.194210865203175</v>
      </c>
      <c r="EM107" s="20">
        <f t="shared" si="73"/>
        <v>381.65596392356196</v>
      </c>
      <c r="EN107" s="59">
        <f t="shared" si="74"/>
        <v>674.98929725689527</v>
      </c>
      <c r="EO107" s="59">
        <f ca="1">AVERAGE(OFFSET($EN$3,0,0,'Données projet'!$E$15+1,1))-AVERAGE(OFFSET($H$3,0,0,'Données projet'!$E$15+1,1))</f>
        <v>178.71569711875242</v>
      </c>
      <c r="EP107" s="59">
        <f t="shared" si="100"/>
        <v>178.13848582064168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18.022229693244899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18.022229693244899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4.5999999999999996</v>
      </c>
      <c r="FE107" s="12">
        <f>IF('Données projet'!$A$218&gt;35,FE106+FD107-FM106,IF(A107&lt;'Données projet'!$A$218,$FB$205^A107,IF(A107='Données projet'!$A$218,'Données projet'!$B$218,FE106+FD107-FM106)))</f>
        <v>279.39999999999998</v>
      </c>
      <c r="FF107" s="17">
        <f>FE107*VLOOKUP('Données projet'!$B$16,Paramètres!$A$1:$I$89,3,0)*VLOOKUP('Données projet'!$B$16,Paramètres!$A$1:$I$89,5,0)</f>
        <v>235.36656000000002</v>
      </c>
      <c r="FG107" s="13">
        <f t="shared" si="101"/>
        <v>57.441495030120393</v>
      </c>
      <c r="FH107" s="20">
        <f t="shared" si="76"/>
        <v>509.97402917745967</v>
      </c>
      <c r="FI107" s="59">
        <f t="shared" si="77"/>
        <v>803.30736251079293</v>
      </c>
      <c r="FJ107" s="59">
        <f ca="1">AVERAGE(OFFSET($FI$3,0,0,'Données projet'!$E$16+1,1))-AVERAGE(OFFSET($H$3,0,0,'Données projet'!$E$16+1,1))</f>
        <v>247.22536892257716</v>
      </c>
      <c r="FK107" s="59">
        <f t="shared" si="102"/>
        <v>147.97952262756075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61.802829662660287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61.802829662660287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6">
        <f t="shared" si="56"/>
        <v>406.9755188632746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249.0000000000002</v>
      </c>
      <c r="O108" s="13">
        <f>N108*VLOOKUP('Données projet'!$B$9,Paramètres!$A$1:$I$89,3,0)*VLOOKUP('Données projet'!$B$9,Paramètres!$A$1:$I$89,5,0)</f>
        <v>217.52640000000019</v>
      </c>
      <c r="P108" s="13">
        <f t="shared" si="87"/>
        <v>53.576907690651304</v>
      </c>
      <c r="Q108" s="20">
        <f t="shared" si="107"/>
        <v>472.17159422788467</v>
      </c>
      <c r="R108" s="59">
        <f t="shared" si="55"/>
        <v>765.50492756121798</v>
      </c>
      <c r="S108" s="59">
        <f ca="1">AVERAGE(OFFSET($R$3,0,0,'Données projet'!$E$9+1,1))-AVERAGE(OFFSET($H$3,0,0,'Données projet'!$E$9+1,1))</f>
        <v>253.73326067725128</v>
      </c>
      <c r="T108" s="59">
        <f t="shared" si="88"/>
        <v>317.76427047458026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31.225356770252887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31.225356770252887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732.99999999999966</v>
      </c>
      <c r="AJ108" s="13">
        <f>AI108*VLOOKUP('Données projet'!$B$10,Paramètres!$A$1:$I$89,3,0)*VLOOKUP('Données projet'!$B$10,Paramètres!$A$1:$I$89,5,0)</f>
        <v>352.57299999999987</v>
      </c>
      <c r="AK108" s="13">
        <f t="shared" si="89"/>
        <v>82.092092597941644</v>
      </c>
      <c r="AL108" s="20">
        <f t="shared" si="58"/>
        <v>757.04170294141477</v>
      </c>
      <c r="AM108" s="59">
        <f t="shared" si="59"/>
        <v>1050.375036274748</v>
      </c>
      <c r="AN108" s="59">
        <f ca="1">AVERAGE(OFFSET($AM$3,0,0,'Données projet'!$E$10+1,1))-AVERAGE(OFFSET($H$3,0,0,'Données projet'!$E$10+1,1))</f>
        <v>349.65790906807746</v>
      </c>
      <c r="AO108" s="59">
        <f t="shared" si="90"/>
        <v>291.88925884278888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77.107982783884509</v>
      </c>
      <c r="AV108" s="21">
        <f>EXP(-LN(2)/25)*AV107+(1-EXP(-LN(2)/25))/(LN(2)/25)*Calculateur!AQ108*Calculateur!AS108*VLOOKUP('Données projet'!$B$10,Paramètres!$A$1:$I$89,3,0)*0.475*44/12</f>
        <v>5.1492357859566287</v>
      </c>
      <c r="AW108" s="21">
        <f>EXP(-LN(2)/2)*AW107+(1-EXP(-LN(2)/2))/(LN(2)/2)*AQ108*AT108*VLOOKUP('Données projet'!$B$10,Paramètres!$A$1:$I$89,3,0)*0.475*44/12</f>
        <v>2.6268002840604331E-13</v>
      </c>
      <c r="AX108" s="21">
        <f t="shared" si="60"/>
        <v>82.257218569841399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319</v>
      </c>
      <c r="BE108" s="13">
        <f>BD108*VLOOKUP('Données projet'!$B$11,Paramètres!$A$1:$I$89,3,0)*VLOOKUP('Données projet'!$B$11,Paramètres!$A$1:$I$89,5,0)</f>
        <v>253.79640000000001</v>
      </c>
      <c r="BF108" s="13">
        <f t="shared" si="91"/>
        <v>61.39816832228076</v>
      </c>
      <c r="BG108" s="20">
        <f t="shared" si="61"/>
        <v>548.96387316130563</v>
      </c>
      <c r="BH108" s="59">
        <f t="shared" si="62"/>
        <v>842.29720649463889</v>
      </c>
      <c r="BI108" s="59">
        <f ca="1">AVERAGE(OFFSET($BH$3,0,0,'Données projet'!$E$11+1,1))-AVERAGE(OFFSET($H$3,0,0,'Données projet'!$E$11+1,1))</f>
        <v>279.49721661620544</v>
      </c>
      <c r="BJ108" s="59">
        <f t="shared" si="92"/>
        <v>275.18739333988754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32.406403829509919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32.406403829509919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266.99999999999983</v>
      </c>
      <c r="BZ108" s="13">
        <f>BY108*VLOOKUP('Données projet'!$B$12,Paramètres!$A$1:$I$89,3,0)*VLOOKUP('Données projet'!$B$12,Paramètres!$A$1:$I$89,5,0)</f>
        <v>258.24239999999986</v>
      </c>
      <c r="CA108" s="13">
        <f t="shared" si="93"/>
        <v>62.347580891234152</v>
      </c>
      <c r="CB108" s="20">
        <f t="shared" si="64"/>
        <v>558.3608833855659</v>
      </c>
      <c r="CC108" s="59">
        <f t="shared" si="65"/>
        <v>851.69421671889927</v>
      </c>
      <c r="CD108" s="59">
        <f ca="1">AVERAGE(OFFSET($CC$3,0,0,'Données projet'!$E$12+1,1))-AVERAGE(OFFSET($H$3,0,0,'Données projet'!$E$12+1,1))</f>
        <v>281.84871057356037</v>
      </c>
      <c r="CE108" s="59">
        <f t="shared" si="94"/>
        <v>276.02211904126887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26.082550838308894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26.082550838308894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319</v>
      </c>
      <c r="CU108" s="17">
        <f>CT108*VLOOKUP('Données projet'!$B$13,Paramètres!$A$1:$I$89,3,0)*VLOOKUP('Données projet'!$B$13,Paramètres!$A$1:$I$89,5,0)</f>
        <v>253.79640000000001</v>
      </c>
      <c r="CV108" s="13">
        <f t="shared" si="95"/>
        <v>61.39816832228076</v>
      </c>
      <c r="CW108" s="20">
        <f t="shared" si="67"/>
        <v>548.96387316130563</v>
      </c>
      <c r="CX108" s="59">
        <f t="shared" si="68"/>
        <v>842.29720649463889</v>
      </c>
      <c r="CY108" s="59">
        <f ca="1">AVERAGE(OFFSET($CX$3,0,0,'Données projet'!$E$13+1,1))-AVERAGE(OFFSET($H$3,0,0,'Données projet'!$E$13+1,1))</f>
        <v>279.49721661620544</v>
      </c>
      <c r="CZ108" s="59">
        <f t="shared" si="96"/>
        <v>275.18739333988754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32.406403829509919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32.406403829509919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>
        <f>VLOOKUP(A108,'Données projet'!$A$165:$I$185,2,0)</f>
        <v>284</v>
      </c>
      <c r="DM108" s="12">
        <f>VLOOKUP(A108,'Données projet'!$A$165:$I$185,9,0)</f>
        <v>4.5999999999999996</v>
      </c>
      <c r="DN108" s="12">
        <f t="array" ref="DN108">INDEX(DM:DM,MIN(IF(ISNUMBER(DM108:DM304),ROW(DM108:DM304),"")))</f>
        <v>4.5999999999999996</v>
      </c>
      <c r="DO108" s="12">
        <f>IF('Données projet'!$A$166&gt;35,DO107+DN108-DW107,IF(A108&lt;'Données projet'!$A$166,$DL$205^A108,IF(A108='Données projet'!$A$166,'Données projet'!$B$166,DO107+DN108-DW107)))</f>
        <v>284</v>
      </c>
      <c r="DP108" s="17">
        <f>DO108*VLOOKUP('Données projet'!$B$14,Paramètres!$A$1:$I$89,3,0)*VLOOKUP('Données projet'!$B$14,Paramètres!$A$1:$I$89,5,0)</f>
        <v>287.976</v>
      </c>
      <c r="DQ108" s="13">
        <f t="shared" si="97"/>
        <v>68.649801713863141</v>
      </c>
      <c r="DR108" s="20">
        <f t="shared" si="70"/>
        <v>621.12327131831159</v>
      </c>
      <c r="DS108" s="59">
        <f t="shared" si="71"/>
        <v>914.45660465164497</v>
      </c>
      <c r="DT108" s="59">
        <f ca="1">AVERAGE(OFFSET($DS$3,0,0,'Données projet'!$E$14+1,1))-AVERAGE(OFFSET($H$3,0,0,'Données projet'!$E$14+1,1))</f>
        <v>308.80022073574963</v>
      </c>
      <c r="DU108" s="59">
        <f t="shared" si="98"/>
        <v>183.96267407004115</v>
      </c>
      <c r="DV108" s="15">
        <f>IF(ISNA(VLOOKUP(A108,'Données projet'!$A$165:$I$185,3,0)),0,VLOOKUP(A108,'Données projet'!$A$165:$I$185,3,0))</f>
        <v>17</v>
      </c>
      <c r="DW108" s="15">
        <f>IF(ISNA(VLOOKUP(A108,'Données projet'!$A$165:$I$185,4,0)),0,VLOOKUP(A108,'Données projet'!$A$165:$I$185,4,0))</f>
        <v>20</v>
      </c>
      <c r="DX108" s="16">
        <f>IF(ISNA(VLOOKUP(A108,'Données projet'!$A$165:$I$185,5,0)),0%,VLOOKUP(A108,'Données projet'!$A$165:$I$185,5,0)*VLOOKUP('Données projet'!$B$14,Paramètres!$A$1:$I$89,7,0))</f>
        <v>0.43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82.573651332561809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82.573651332561809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266.99999999999983</v>
      </c>
      <c r="EK108" s="17">
        <f>EJ108*VLOOKUP('Données projet'!$B$15,Paramètres!$A$1:$I$89,3,0)*VLOOKUP('Données projet'!$B$15,Paramètres!$A$1:$I$89,5,0)</f>
        <v>174.93839999999989</v>
      </c>
      <c r="EL108" s="13">
        <f t="shared" si="99"/>
        <v>44.194210865203175</v>
      </c>
      <c r="EM108" s="20">
        <f t="shared" si="73"/>
        <v>381.65596392356196</v>
      </c>
      <c r="EN108" s="59">
        <f t="shared" si="74"/>
        <v>674.98929725689527</v>
      </c>
      <c r="EO108" s="59">
        <f ca="1">AVERAGE(OFFSET($EN$3,0,0,'Données projet'!$E$15+1,1))-AVERAGE(OFFSET($H$3,0,0,'Données projet'!$E$15+1,1))</f>
        <v>178.71569711875242</v>
      </c>
      <c r="EP108" s="59">
        <f t="shared" si="100"/>
        <v>178.13848582064168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17.668824761435062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17.668824761435062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>
        <f>VLOOKUP(A108,'Données projet'!$A$217:$I$237,2,0)</f>
        <v>284</v>
      </c>
      <c r="FC108" s="12">
        <f>VLOOKUP(A108,'Données projet'!$A$217:$I$237,9,0)</f>
        <v>4.5999999999999996</v>
      </c>
      <c r="FD108" s="12">
        <f t="array" ref="FD108">INDEX(FC:FC,MIN(IF(ISNUMBER(FC108:FC304),ROW(FC108:FC304),"")))</f>
        <v>4.5999999999999996</v>
      </c>
      <c r="FE108" s="12">
        <f>IF('Données projet'!$A$218&gt;35,FE107+FD108-FM107,IF(A108&lt;'Données projet'!$A$218,$FB$205^A108,IF(A108='Données projet'!$A$218,'Données projet'!$B$218,FE107+FD108-FM107)))</f>
        <v>284</v>
      </c>
      <c r="FF108" s="17">
        <f>FE108*VLOOKUP('Données projet'!$B$16,Paramètres!$A$1:$I$89,3,0)*VLOOKUP('Données projet'!$B$16,Paramètres!$A$1:$I$89,5,0)</f>
        <v>239.24160000000003</v>
      </c>
      <c r="FG108" s="13">
        <f t="shared" si="101"/>
        <v>58.276326982845887</v>
      </c>
      <c r="FH108" s="20">
        <f t="shared" si="76"/>
        <v>518.17705616178989</v>
      </c>
      <c r="FI108" s="59">
        <f t="shared" si="77"/>
        <v>811.51038949512326</v>
      </c>
      <c r="FJ108" s="59">
        <f ca="1">AVERAGE(OFFSET($FI$3,0,0,'Données projet'!$E$16+1,1))-AVERAGE(OFFSET($H$3,0,0,'Données projet'!$E$16+1,1))</f>
        <v>247.22536892257716</v>
      </c>
      <c r="FK108" s="59">
        <f t="shared" si="102"/>
        <v>147.97952262756075</v>
      </c>
      <c r="FL108" s="15">
        <f>IF(ISNA(VLOOKUP(A108,'Données projet'!$A$217:$I$237,3,0)),0,VLOOKUP(A108,'Données projet'!$A$217:$I$237,3,0))</f>
        <v>17</v>
      </c>
      <c r="FM108" s="15">
        <f>IF(ISNA(VLOOKUP(A108,'Données projet'!$A$217:$I$237,4,0)),0,VLOOKUP(A108,'Données projet'!$A$217:$I$237,4,0))</f>
        <v>20</v>
      </c>
      <c r="FN108" s="16">
        <f>IF(ISNA(VLOOKUP(A108,'Données projet'!$A$217:$I$237,5,0)),0%,VLOOKUP(A108,'Données projet'!$A$217:$I$237,5,0)*VLOOKUP('Données projet'!$B$16,Paramètres!$A$1:$I$89,7,0))</f>
        <v>0.43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68.599648799359031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68.599648799359031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6">
        <f t="shared" si="56"/>
        <v>408.0292386847965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249.0000000000002</v>
      </c>
      <c r="O109" s="13">
        <f>N109*VLOOKUP('Données projet'!$B$9,Paramètres!$A$1:$I$89,3,0)*VLOOKUP('Données projet'!$B$9,Paramètres!$A$1:$I$89,5,0)</f>
        <v>217.52640000000019</v>
      </c>
      <c r="P109" s="13">
        <f t="shared" si="87"/>
        <v>53.576907690651304</v>
      </c>
      <c r="Q109" s="20">
        <f t="shared" si="107"/>
        <v>472.17159422788467</v>
      </c>
      <c r="R109" s="59">
        <f t="shared" si="55"/>
        <v>765.50492756121798</v>
      </c>
      <c r="S109" s="59">
        <f ca="1">AVERAGE(OFFSET($R$3,0,0,'Données projet'!$E$9+1,1))-AVERAGE(OFFSET($H$3,0,0,'Données projet'!$E$9+1,1))</f>
        <v>253.73326067725128</v>
      </c>
      <c r="T109" s="59">
        <f t="shared" si="88"/>
        <v>317.76427047458026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30.61304656957526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30.61304656957526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732.99999999999966</v>
      </c>
      <c r="AJ109" s="13">
        <f>AI109*VLOOKUP('Données projet'!$B$10,Paramètres!$A$1:$I$89,3,0)*VLOOKUP('Données projet'!$B$10,Paramètres!$A$1:$I$89,5,0)</f>
        <v>352.57299999999987</v>
      </c>
      <c r="AK109" s="13">
        <f t="shared" si="89"/>
        <v>82.092092597941644</v>
      </c>
      <c r="AL109" s="20">
        <f t="shared" si="58"/>
        <v>757.04170294141477</v>
      </c>
      <c r="AM109" s="59">
        <f t="shared" si="59"/>
        <v>1050.375036274748</v>
      </c>
      <c r="AN109" s="59">
        <f ca="1">AVERAGE(OFFSET($AM$3,0,0,'Données projet'!$E$10+1,1))-AVERAGE(OFFSET($H$3,0,0,'Données projet'!$E$10+1,1))</f>
        <v>349.65790906807746</v>
      </c>
      <c r="AO109" s="59">
        <f t="shared" si="90"/>
        <v>291.88925884278888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75.595942272718091</v>
      </c>
      <c r="AV109" s="21">
        <f>EXP(-LN(2)/25)*AV108+(1-EXP(-LN(2)/25))/(LN(2)/25)*Calculateur!AQ109*Calculateur!AS109*VLOOKUP('Données projet'!$B$10,Paramètres!$A$1:$I$89,3,0)*0.475*44/12</f>
        <v>5.0084296626031035</v>
      </c>
      <c r="AW109" s="21">
        <f>EXP(-LN(2)/2)*AW108+(1-EXP(-LN(2)/2))/(LN(2)/2)*AQ109*AT109*VLOOKUP('Données projet'!$B$10,Paramètres!$A$1:$I$89,3,0)*0.475*44/12</f>
        <v>1.8574282936818816E-13</v>
      </c>
      <c r="AX109" s="21">
        <f t="shared" si="60"/>
        <v>80.604371935321382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319</v>
      </c>
      <c r="BE109" s="13">
        <f>BD109*VLOOKUP('Données projet'!$B$11,Paramètres!$A$1:$I$89,3,0)*VLOOKUP('Données projet'!$B$11,Paramètres!$A$1:$I$89,5,0)</f>
        <v>253.79640000000001</v>
      </c>
      <c r="BF109" s="13">
        <f t="shared" si="91"/>
        <v>61.39816832228076</v>
      </c>
      <c r="BG109" s="20">
        <f t="shared" si="61"/>
        <v>548.96387316130563</v>
      </c>
      <c r="BH109" s="59">
        <f t="shared" si="62"/>
        <v>842.29720649463889</v>
      </c>
      <c r="BI109" s="59">
        <f ca="1">AVERAGE(OFFSET($BH$3,0,0,'Données projet'!$E$11+1,1))-AVERAGE(OFFSET($H$3,0,0,'Données projet'!$E$11+1,1))</f>
        <v>279.49721661620544</v>
      </c>
      <c r="BJ109" s="59">
        <f t="shared" si="92"/>
        <v>275.18739333988754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31.770934016367839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31.770934016367839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266.99999999999983</v>
      </c>
      <c r="BZ109" s="13">
        <f>BY109*VLOOKUP('Données projet'!$B$12,Paramètres!$A$1:$I$89,3,0)*VLOOKUP('Données projet'!$B$12,Paramètres!$A$1:$I$89,5,0)</f>
        <v>258.24239999999986</v>
      </c>
      <c r="CA109" s="13">
        <f t="shared" si="93"/>
        <v>62.347580891234152</v>
      </c>
      <c r="CB109" s="20">
        <f t="shared" si="64"/>
        <v>558.3608833855659</v>
      </c>
      <c r="CC109" s="59">
        <f t="shared" si="65"/>
        <v>851.69421671889927</v>
      </c>
      <c r="CD109" s="59">
        <f ca="1">AVERAGE(OFFSET($CC$3,0,0,'Données projet'!$E$12+1,1))-AVERAGE(OFFSET($H$3,0,0,'Données projet'!$E$12+1,1))</f>
        <v>281.84871057356037</v>
      </c>
      <c r="CE109" s="59">
        <f t="shared" si="94"/>
        <v>276.02211904126887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25.571087925154806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25.571087925154806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319</v>
      </c>
      <c r="CU109" s="17">
        <f>CT109*VLOOKUP('Données projet'!$B$13,Paramètres!$A$1:$I$89,3,0)*VLOOKUP('Données projet'!$B$13,Paramètres!$A$1:$I$89,5,0)</f>
        <v>253.79640000000001</v>
      </c>
      <c r="CV109" s="13">
        <f t="shared" si="95"/>
        <v>61.39816832228076</v>
      </c>
      <c r="CW109" s="20">
        <f t="shared" si="67"/>
        <v>548.96387316130563</v>
      </c>
      <c r="CX109" s="59">
        <f t="shared" si="68"/>
        <v>842.29720649463889</v>
      </c>
      <c r="CY109" s="59">
        <f ca="1">AVERAGE(OFFSET($CX$3,0,0,'Données projet'!$E$13+1,1))-AVERAGE(OFFSET($H$3,0,0,'Données projet'!$E$13+1,1))</f>
        <v>279.49721661620544</v>
      </c>
      <c r="CZ109" s="59">
        <f t="shared" si="96"/>
        <v>275.18739333988754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31.770934016367839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31.770934016367839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4.2</v>
      </c>
      <c r="DO109" s="12">
        <f>IF('Données projet'!$A$166&gt;35,DO108+DN109-DW108,IF(A109&lt;'Données projet'!$A$166,$DL$205^A109,IF(A109='Données projet'!$A$166,'Données projet'!$B$166,DO108+DN109-DW108)))</f>
        <v>268.2</v>
      </c>
      <c r="DP109" s="17">
        <f>DO109*VLOOKUP('Données projet'!$B$14,Paramètres!$A$1:$I$89,3,0)*VLOOKUP('Données projet'!$B$14,Paramètres!$A$1:$I$89,5,0)</f>
        <v>271.95480000000003</v>
      </c>
      <c r="DQ109" s="13">
        <f t="shared" si="97"/>
        <v>65.263952845017442</v>
      </c>
      <c r="DR109" s="20">
        <f t="shared" si="70"/>
        <v>587.322661205072</v>
      </c>
      <c r="DS109" s="59">
        <f t="shared" si="71"/>
        <v>880.65599453840537</v>
      </c>
      <c r="DT109" s="59">
        <f ca="1">AVERAGE(OFFSET($DS$3,0,0,'Données projet'!$E$14+1,1))-AVERAGE(OFFSET($H$3,0,0,'Données projet'!$E$14+1,1))</f>
        <v>308.80022073574963</v>
      </c>
      <c r="DU109" s="59">
        <f t="shared" si="98"/>
        <v>183.96267407004115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80.954432394884464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80.954432394884464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266.99999999999983</v>
      </c>
      <c r="EK109" s="17">
        <f>EJ109*VLOOKUP('Données projet'!$B$15,Paramètres!$A$1:$I$89,3,0)*VLOOKUP('Données projet'!$B$15,Paramètres!$A$1:$I$89,5,0)</f>
        <v>174.93839999999989</v>
      </c>
      <c r="EL109" s="13">
        <f t="shared" si="99"/>
        <v>44.194210865203175</v>
      </c>
      <c r="EM109" s="20">
        <f t="shared" si="73"/>
        <v>381.65596392356196</v>
      </c>
      <c r="EN109" s="59">
        <f t="shared" si="74"/>
        <v>674.98929725689527</v>
      </c>
      <c r="EO109" s="59">
        <f ca="1">AVERAGE(OFFSET($EN$3,0,0,'Données projet'!$E$15+1,1))-AVERAGE(OFFSET($H$3,0,0,'Données projet'!$E$15+1,1))</f>
        <v>178.71569711875242</v>
      </c>
      <c r="EP109" s="59">
        <f t="shared" si="100"/>
        <v>178.13848582064168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17.322349884782291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17.322349884782291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4.2</v>
      </c>
      <c r="FE109" s="12">
        <f>IF('Données projet'!$A$218&gt;35,FE108+FD109-FM108,IF(A109&lt;'Données projet'!$A$218,$FB$205^A109,IF(A109='Données projet'!$A$218,'Données projet'!$B$218,FE108+FD109-FM108)))</f>
        <v>268.2</v>
      </c>
      <c r="FF109" s="17">
        <f>FE109*VLOOKUP('Données projet'!$B$16,Paramètres!$A$1:$I$89,3,0)*VLOOKUP('Données projet'!$B$16,Paramètres!$A$1:$I$89,5,0)</f>
        <v>225.93168</v>
      </c>
      <c r="FG109" s="13">
        <f t="shared" si="101"/>
        <v>55.402104029984706</v>
      </c>
      <c r="FH109" s="20">
        <f t="shared" si="76"/>
        <v>489.9896738522234</v>
      </c>
      <c r="FI109" s="59">
        <f t="shared" si="77"/>
        <v>783.32300718555666</v>
      </c>
      <c r="FJ109" s="59">
        <f ca="1">AVERAGE(OFFSET($FI$3,0,0,'Données projet'!$E$16+1,1))-AVERAGE(OFFSET($H$3,0,0,'Données projet'!$E$16+1,1))</f>
        <v>247.22536892257716</v>
      </c>
      <c r="FK109" s="59">
        <f t="shared" si="102"/>
        <v>147.97952262756075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67.254451528057842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67.254451528057842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6">
        <f t="shared" si="56"/>
        <v>409.08272146430653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249.0000000000002</v>
      </c>
      <c r="O110" s="13">
        <f>N110*VLOOKUP('Données projet'!$B$9,Paramètres!$A$1:$I$89,3,0)*VLOOKUP('Données projet'!$B$9,Paramètres!$A$1:$I$89,5,0)</f>
        <v>217.52640000000019</v>
      </c>
      <c r="P110" s="13">
        <f t="shared" si="87"/>
        <v>53.576907690651304</v>
      </c>
      <c r="Q110" s="20">
        <f t="shared" si="107"/>
        <v>472.17159422788467</v>
      </c>
      <c r="R110" s="59">
        <f t="shared" si="55"/>
        <v>765.50492756121798</v>
      </c>
      <c r="S110" s="59">
        <f ca="1">AVERAGE(OFFSET($R$3,0,0,'Données projet'!$E$9+1,1))-AVERAGE(OFFSET($H$3,0,0,'Données projet'!$E$9+1,1))</f>
        <v>253.73326067725128</v>
      </c>
      <c r="T110" s="59">
        <f t="shared" si="88"/>
        <v>317.76427047458026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30.012743398460579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30.012743398460579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732.99999999999966</v>
      </c>
      <c r="AJ110" s="13">
        <f>AI110*VLOOKUP('Données projet'!$B$10,Paramètres!$A$1:$I$89,3,0)*VLOOKUP('Données projet'!$B$10,Paramètres!$A$1:$I$89,5,0)</f>
        <v>352.57299999999987</v>
      </c>
      <c r="AK110" s="13">
        <f t="shared" si="89"/>
        <v>82.092092597941644</v>
      </c>
      <c r="AL110" s="20">
        <f t="shared" si="58"/>
        <v>757.04170294141477</v>
      </c>
      <c r="AM110" s="59">
        <f t="shared" si="59"/>
        <v>1050.375036274748</v>
      </c>
      <c r="AN110" s="59">
        <f ca="1">AVERAGE(OFFSET($AM$3,0,0,'Données projet'!$E$10+1,1))-AVERAGE(OFFSET($H$3,0,0,'Données projet'!$E$10+1,1))</f>
        <v>349.65790906807746</v>
      </c>
      <c r="AO110" s="59">
        <f t="shared" si="90"/>
        <v>291.88925884278888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74.113551953721995</v>
      </c>
      <c r="AV110" s="21">
        <f>EXP(-LN(2)/25)*AV109+(1-EXP(-LN(2)/25))/(LN(2)/25)*Calculateur!AQ110*Calculateur!AS110*VLOOKUP('Données projet'!$B$10,Paramètres!$A$1:$I$89,3,0)*0.475*44/12</f>
        <v>4.8714738900973522</v>
      </c>
      <c r="AW110" s="21">
        <f>EXP(-LN(2)/2)*AW109+(1-EXP(-LN(2)/2))/(LN(2)/2)*AQ110*AT110*VLOOKUP('Données projet'!$B$10,Paramètres!$A$1:$I$89,3,0)*0.475*44/12</f>
        <v>1.3134001420302166E-13</v>
      </c>
      <c r="AX110" s="21">
        <f t="shared" si="60"/>
        <v>78.985025843819471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319</v>
      </c>
      <c r="BE110" s="13">
        <f>BD110*VLOOKUP('Données projet'!$B$11,Paramètres!$A$1:$I$89,3,0)*VLOOKUP('Données projet'!$B$11,Paramètres!$A$1:$I$89,5,0)</f>
        <v>253.79640000000001</v>
      </c>
      <c r="BF110" s="13">
        <f t="shared" si="91"/>
        <v>61.39816832228076</v>
      </c>
      <c r="BG110" s="20">
        <f t="shared" si="61"/>
        <v>548.96387316130563</v>
      </c>
      <c r="BH110" s="59">
        <f t="shared" si="62"/>
        <v>842.29720649463889</v>
      </c>
      <c r="BI110" s="59">
        <f ca="1">AVERAGE(OFFSET($BH$3,0,0,'Données projet'!$E$11+1,1))-AVERAGE(OFFSET($H$3,0,0,'Données projet'!$E$11+1,1))</f>
        <v>279.49721661620544</v>
      </c>
      <c r="BJ110" s="59">
        <f t="shared" si="92"/>
        <v>275.18739333988754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31.14792537866316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31.14792537866316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266.99999999999983</v>
      </c>
      <c r="BZ110" s="13">
        <f>BY110*VLOOKUP('Données projet'!$B$12,Paramètres!$A$1:$I$89,3,0)*VLOOKUP('Données projet'!$B$12,Paramètres!$A$1:$I$89,5,0)</f>
        <v>258.24239999999986</v>
      </c>
      <c r="CA110" s="13">
        <f t="shared" si="93"/>
        <v>62.347580891234152</v>
      </c>
      <c r="CB110" s="20">
        <f t="shared" si="64"/>
        <v>558.3608833855659</v>
      </c>
      <c r="CC110" s="59">
        <f t="shared" si="65"/>
        <v>851.69421671889927</v>
      </c>
      <c r="CD110" s="59">
        <f ca="1">AVERAGE(OFFSET($CC$3,0,0,'Données projet'!$E$12+1,1))-AVERAGE(OFFSET($H$3,0,0,'Données projet'!$E$12+1,1))</f>
        <v>281.84871057356037</v>
      </c>
      <c r="CE110" s="59">
        <f t="shared" si="94"/>
        <v>276.02211904126887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25.069654487766098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25.069654487766098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319</v>
      </c>
      <c r="CU110" s="17">
        <f>CT110*VLOOKUP('Données projet'!$B$13,Paramètres!$A$1:$I$89,3,0)*VLOOKUP('Données projet'!$B$13,Paramètres!$A$1:$I$89,5,0)</f>
        <v>253.79640000000001</v>
      </c>
      <c r="CV110" s="13">
        <f t="shared" si="95"/>
        <v>61.39816832228076</v>
      </c>
      <c r="CW110" s="20">
        <f t="shared" si="67"/>
        <v>548.96387316130563</v>
      </c>
      <c r="CX110" s="59">
        <f t="shared" si="68"/>
        <v>842.29720649463889</v>
      </c>
      <c r="CY110" s="59">
        <f ca="1">AVERAGE(OFFSET($CX$3,0,0,'Données projet'!$E$13+1,1))-AVERAGE(OFFSET($H$3,0,0,'Données projet'!$E$13+1,1))</f>
        <v>279.49721661620544</v>
      </c>
      <c r="CZ110" s="59">
        <f t="shared" si="96"/>
        <v>275.18739333988754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31.14792537866316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31.14792537866316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4.2</v>
      </c>
      <c r="DO110" s="12">
        <f>IF('Données projet'!$A$166&gt;35,DO109+DN110-DW109,IF(A110&lt;'Données projet'!$A$166,$DL$205^A110,IF(A110='Données projet'!$A$166,'Données projet'!$B$166,DO109+DN110-DW109)))</f>
        <v>272.39999999999998</v>
      </c>
      <c r="DP110" s="17">
        <f>DO110*VLOOKUP('Données projet'!$B$14,Paramètres!$A$1:$I$89,3,0)*VLOOKUP('Données projet'!$B$14,Paramètres!$A$1:$I$89,5,0)</f>
        <v>276.21359999999999</v>
      </c>
      <c r="DQ110" s="13">
        <f t="shared" si="97"/>
        <v>66.166200760877473</v>
      </c>
      <c r="DR110" s="20">
        <f t="shared" si="70"/>
        <v>596.31148632519489</v>
      </c>
      <c r="DS110" s="59">
        <f t="shared" si="71"/>
        <v>889.64481965852815</v>
      </c>
      <c r="DT110" s="59">
        <f ca="1">AVERAGE(OFFSET($DS$3,0,0,'Données projet'!$E$14+1,1))-AVERAGE(OFFSET($H$3,0,0,'Données projet'!$E$14+1,1))</f>
        <v>308.80022073574963</v>
      </c>
      <c r="DU110" s="59">
        <f t="shared" si="98"/>
        <v>183.96267407004115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79.366965352948938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79.366965352948938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266.99999999999983</v>
      </c>
      <c r="EK110" s="17">
        <f>EJ110*VLOOKUP('Données projet'!$B$15,Paramètres!$A$1:$I$89,3,0)*VLOOKUP('Données projet'!$B$15,Paramètres!$A$1:$I$89,5,0)</f>
        <v>174.93839999999989</v>
      </c>
      <c r="EL110" s="13">
        <f t="shared" si="99"/>
        <v>44.194210865203175</v>
      </c>
      <c r="EM110" s="20">
        <f t="shared" si="73"/>
        <v>381.65596392356196</v>
      </c>
      <c r="EN110" s="59">
        <f t="shared" si="74"/>
        <v>674.98929725689527</v>
      </c>
      <c r="EO110" s="59">
        <f ca="1">AVERAGE(OFFSET($EN$3,0,0,'Données projet'!$E$15+1,1))-AVERAGE(OFFSET($H$3,0,0,'Données projet'!$E$15+1,1))</f>
        <v>178.71569711875242</v>
      </c>
      <c r="EP110" s="59">
        <f t="shared" si="100"/>
        <v>178.13848582064168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16.982669169131874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16.982669169131874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4.2</v>
      </c>
      <c r="FE110" s="12">
        <f>IF('Données projet'!$A$218&gt;35,FE109+FD110-FM109,IF(A110&lt;'Données projet'!$A$218,$FB$205^A110,IF(A110='Données projet'!$A$218,'Données projet'!$B$218,FE109+FD110-FM109)))</f>
        <v>272.39999999999998</v>
      </c>
      <c r="FF110" s="17">
        <f>FE110*VLOOKUP('Données projet'!$B$16,Paramètres!$A$1:$I$89,3,0)*VLOOKUP('Données projet'!$B$16,Paramètres!$A$1:$I$89,5,0)</f>
        <v>229.46976000000001</v>
      </c>
      <c r="FG110" s="13">
        <f t="shared" si="101"/>
        <v>56.168015849852821</v>
      </c>
      <c r="FH110" s="20">
        <f t="shared" si="76"/>
        <v>497.4857929384936</v>
      </c>
      <c r="FI110" s="59">
        <f t="shared" si="77"/>
        <v>790.81912627182692</v>
      </c>
      <c r="FJ110" s="59">
        <f ca="1">AVERAGE(OFFSET($FI$3,0,0,'Données projet'!$E$16+1,1))-AVERAGE(OFFSET($H$3,0,0,'Données projet'!$E$16+1,1))</f>
        <v>247.22536892257716</v>
      </c>
      <c r="FK110" s="59">
        <f t="shared" si="102"/>
        <v>147.97952262756075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65.935632754757563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65.935632754757563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6">
        <f t="shared" si="56"/>
        <v>410.13596967374428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249.0000000000002</v>
      </c>
      <c r="O111" s="13">
        <f>N111*VLOOKUP('Données projet'!$B$9,Paramètres!$A$1:$I$89,3,0)*VLOOKUP('Données projet'!$B$9,Paramètres!$A$1:$I$89,5,0)</f>
        <v>217.52640000000019</v>
      </c>
      <c r="P111" s="13">
        <f t="shared" si="87"/>
        <v>53.576907690651304</v>
      </c>
      <c r="Q111" s="20">
        <f t="shared" si="107"/>
        <v>472.17159422788467</v>
      </c>
      <c r="R111" s="59">
        <f t="shared" si="55"/>
        <v>765.50492756121798</v>
      </c>
      <c r="S111" s="59">
        <f ca="1">AVERAGE(OFFSET($R$3,0,0,'Données projet'!$E$9+1,1))-AVERAGE(OFFSET($H$3,0,0,'Données projet'!$E$9+1,1))</f>
        <v>253.73326067725128</v>
      </c>
      <c r="T111" s="59">
        <f t="shared" si="88"/>
        <v>317.76427047458026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29.424211806382676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29.424211806382676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732.99999999999966</v>
      </c>
      <c r="AJ111" s="13">
        <f>AI111*VLOOKUP('Données projet'!$B$10,Paramètres!$A$1:$I$89,3,0)*VLOOKUP('Données projet'!$B$10,Paramètres!$A$1:$I$89,5,0)</f>
        <v>352.57299999999987</v>
      </c>
      <c r="AK111" s="13">
        <f t="shared" si="89"/>
        <v>82.092092597941644</v>
      </c>
      <c r="AL111" s="20">
        <f t="shared" si="58"/>
        <v>757.04170294141477</v>
      </c>
      <c r="AM111" s="59">
        <f t="shared" si="59"/>
        <v>1050.375036274748</v>
      </c>
      <c r="AN111" s="59">
        <f ca="1">AVERAGE(OFFSET($AM$3,0,0,'Données projet'!$E$10+1,1))-AVERAGE(OFFSET($H$3,0,0,'Données projet'!$E$10+1,1))</f>
        <v>349.65790906807746</v>
      </c>
      <c r="AO111" s="59">
        <f t="shared" si="90"/>
        <v>291.88925884278888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72.660230404712593</v>
      </c>
      <c r="AV111" s="21">
        <f>EXP(-LN(2)/25)*AV110+(1-EXP(-LN(2)/25))/(LN(2)/25)*Calculateur!AQ111*Calculateur!AS111*VLOOKUP('Données projet'!$B$10,Paramètres!$A$1:$I$89,3,0)*0.475*44/12</f>
        <v>4.7382631803929618</v>
      </c>
      <c r="AW111" s="21">
        <f>EXP(-LN(2)/2)*AW110+(1-EXP(-LN(2)/2))/(LN(2)/2)*AQ111*AT111*VLOOKUP('Données projet'!$B$10,Paramètres!$A$1:$I$89,3,0)*0.475*44/12</f>
        <v>9.2871414684094078E-14</v>
      </c>
      <c r="AX111" s="21">
        <f t="shared" si="60"/>
        <v>77.398493585105655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319</v>
      </c>
      <c r="BE111" s="13">
        <f>BD111*VLOOKUP('Données projet'!$B$11,Paramètres!$A$1:$I$89,3,0)*VLOOKUP('Données projet'!$B$11,Paramètres!$A$1:$I$89,5,0)</f>
        <v>253.79640000000001</v>
      </c>
      <c r="BF111" s="13">
        <f t="shared" si="91"/>
        <v>61.39816832228076</v>
      </c>
      <c r="BG111" s="20">
        <f t="shared" si="61"/>
        <v>548.96387316130563</v>
      </c>
      <c r="BH111" s="59">
        <f t="shared" si="62"/>
        <v>842.29720649463889</v>
      </c>
      <c r="BI111" s="59">
        <f ca="1">AVERAGE(OFFSET($BH$3,0,0,'Données projet'!$E$11+1,1))-AVERAGE(OFFSET($H$3,0,0,'Données projet'!$E$11+1,1))</f>
        <v>279.49721661620544</v>
      </c>
      <c r="BJ111" s="59">
        <f t="shared" si="92"/>
        <v>275.18739333988754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30.537133560346124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30.537133560346124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266.99999999999983</v>
      </c>
      <c r="BZ111" s="13">
        <f>BY111*VLOOKUP('Données projet'!$B$12,Paramètres!$A$1:$I$89,3,0)*VLOOKUP('Données projet'!$B$12,Paramètres!$A$1:$I$89,5,0)</f>
        <v>258.24239999999986</v>
      </c>
      <c r="CA111" s="13">
        <f t="shared" si="93"/>
        <v>62.347580891234152</v>
      </c>
      <c r="CB111" s="20">
        <f t="shared" si="64"/>
        <v>558.3608833855659</v>
      </c>
      <c r="CC111" s="59">
        <f t="shared" si="65"/>
        <v>851.69421671889927</v>
      </c>
      <c r="CD111" s="59">
        <f ca="1">AVERAGE(OFFSET($CC$3,0,0,'Données projet'!$E$12+1,1))-AVERAGE(OFFSET($H$3,0,0,'Données projet'!$E$12+1,1))</f>
        <v>281.84871057356037</v>
      </c>
      <c r="CE111" s="59">
        <f t="shared" si="94"/>
        <v>276.02211904126887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24.578053854240384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24.578053854240384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319</v>
      </c>
      <c r="CU111" s="17">
        <f>CT111*VLOOKUP('Données projet'!$B$13,Paramètres!$A$1:$I$89,3,0)*VLOOKUP('Données projet'!$B$13,Paramètres!$A$1:$I$89,5,0)</f>
        <v>253.79640000000001</v>
      </c>
      <c r="CV111" s="13">
        <f t="shared" si="95"/>
        <v>61.39816832228076</v>
      </c>
      <c r="CW111" s="20">
        <f t="shared" si="67"/>
        <v>548.96387316130563</v>
      </c>
      <c r="CX111" s="59">
        <f t="shared" si="68"/>
        <v>842.29720649463889</v>
      </c>
      <c r="CY111" s="59">
        <f ca="1">AVERAGE(OFFSET($CX$3,0,0,'Données projet'!$E$13+1,1))-AVERAGE(OFFSET($H$3,0,0,'Données projet'!$E$13+1,1))</f>
        <v>279.49721661620544</v>
      </c>
      <c r="CZ111" s="59">
        <f t="shared" si="96"/>
        <v>275.18739333988754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30.537133560346124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30.537133560346124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4.2</v>
      </c>
      <c r="DO111" s="12">
        <f>IF('Données projet'!$A$166&gt;35,DO110+DN111-DW110,IF(A111&lt;'Données projet'!$A$166,$DL$205^A111,IF(A111='Données projet'!$A$166,'Données projet'!$B$166,DO110+DN111-DW110)))</f>
        <v>276.59999999999997</v>
      </c>
      <c r="DP111" s="17">
        <f>DO111*VLOOKUP('Données projet'!$B$14,Paramètres!$A$1:$I$89,3,0)*VLOOKUP('Données projet'!$B$14,Paramètres!$A$1:$I$89,5,0)</f>
        <v>280.47239999999999</v>
      </c>
      <c r="DQ111" s="13">
        <f t="shared" si="97"/>
        <v>67.066830784504006</v>
      </c>
      <c r="DR111" s="20">
        <f t="shared" si="70"/>
        <v>605.29749361634447</v>
      </c>
      <c r="DS111" s="59">
        <f t="shared" si="71"/>
        <v>898.63082694967784</v>
      </c>
      <c r="DT111" s="59">
        <f ca="1">AVERAGE(OFFSET($DS$3,0,0,'Données projet'!$E$14+1,1))-AVERAGE(OFFSET($H$3,0,0,'Données projet'!$E$14+1,1))</f>
        <v>308.80022073574963</v>
      </c>
      <c r="DU111" s="59">
        <f t="shared" si="98"/>
        <v>183.96267407004115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77.810627571446474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77.810627571446474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266.99999999999983</v>
      </c>
      <c r="EK111" s="17">
        <f>EJ111*VLOOKUP('Données projet'!$B$15,Paramètres!$A$1:$I$89,3,0)*VLOOKUP('Données projet'!$B$15,Paramètres!$A$1:$I$89,5,0)</f>
        <v>174.93839999999989</v>
      </c>
      <c r="EL111" s="13">
        <f t="shared" si="99"/>
        <v>44.194210865203175</v>
      </c>
      <c r="EM111" s="20">
        <f t="shared" si="73"/>
        <v>381.65596392356196</v>
      </c>
      <c r="EN111" s="59">
        <f t="shared" si="74"/>
        <v>674.98929725689527</v>
      </c>
      <c r="EO111" s="59">
        <f ca="1">AVERAGE(OFFSET($EN$3,0,0,'Données projet'!$E$15+1,1))-AVERAGE(OFFSET($H$3,0,0,'Données projet'!$E$15+1,1))</f>
        <v>178.71569711875242</v>
      </c>
      <c r="EP111" s="59">
        <f t="shared" si="100"/>
        <v>178.13848582064168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16.649649385130584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16.649649385130584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4.2</v>
      </c>
      <c r="FE111" s="12">
        <f>IF('Données projet'!$A$218&gt;35,FE110+FD111-FM110,IF(A111&lt;'Données projet'!$A$218,$FB$205^A111,IF(A111='Données projet'!$A$218,'Données projet'!$B$218,FE110+FD111-FM110)))</f>
        <v>276.59999999999997</v>
      </c>
      <c r="FF111" s="17">
        <f>FE111*VLOOKUP('Données projet'!$B$16,Paramètres!$A$1:$I$89,3,0)*VLOOKUP('Données projet'!$B$16,Paramètres!$A$1:$I$89,5,0)</f>
        <v>233.00784000000002</v>
      </c>
      <c r="FG111" s="13">
        <f t="shared" si="101"/>
        <v>56.932554252544712</v>
      </c>
      <c r="FH111" s="20">
        <f t="shared" si="76"/>
        <v>504.9795199898486</v>
      </c>
      <c r="FI111" s="59">
        <f t="shared" si="77"/>
        <v>798.31285332318191</v>
      </c>
      <c r="FJ111" s="59">
        <f ca="1">AVERAGE(OFFSET($FI$3,0,0,'Données projet'!$E$16+1,1))-AVERAGE(OFFSET($H$3,0,0,'Données projet'!$E$16+1,1))</f>
        <v>247.22536892257716</v>
      </c>
      <c r="FK111" s="59">
        <f t="shared" si="102"/>
        <v>147.97952262756075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64.64267521320167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64.64267521320167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6">
        <f t="shared" si="56"/>
        <v>411.18898573663273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249.0000000000002</v>
      </c>
      <c r="O112" s="13">
        <f>N112*VLOOKUP('Données projet'!$B$9,Paramètres!$A$1:$I$89,3,0)*VLOOKUP('Données projet'!$B$9,Paramètres!$A$1:$I$89,5,0)</f>
        <v>217.52640000000019</v>
      </c>
      <c r="P112" s="13">
        <f t="shared" si="87"/>
        <v>53.576907690651304</v>
      </c>
      <c r="Q112" s="20">
        <f t="shared" si="107"/>
        <v>472.17159422788467</v>
      </c>
      <c r="R112" s="59">
        <f t="shared" si="55"/>
        <v>765.50492756121798</v>
      </c>
      <c r="S112" s="59">
        <f ca="1">AVERAGE(OFFSET($R$3,0,0,'Données projet'!$E$9+1,1))-AVERAGE(OFFSET($H$3,0,0,'Données projet'!$E$9+1,1))</f>
        <v>253.73326067725128</v>
      </c>
      <c r="T112" s="59">
        <f t="shared" si="88"/>
        <v>317.76427047458026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28.847220959856596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28.847220959856596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732.99999999999966</v>
      </c>
      <c r="AJ112" s="13">
        <f>AI112*VLOOKUP('Données projet'!$B$10,Paramètres!$A$1:$I$89,3,0)*VLOOKUP('Données projet'!$B$10,Paramètres!$A$1:$I$89,5,0)</f>
        <v>352.57299999999987</v>
      </c>
      <c r="AK112" s="13">
        <f t="shared" si="89"/>
        <v>82.092092597941644</v>
      </c>
      <c r="AL112" s="20">
        <f t="shared" si="58"/>
        <v>757.04170294141477</v>
      </c>
      <c r="AM112" s="59">
        <f t="shared" si="59"/>
        <v>1050.375036274748</v>
      </c>
      <c r="AN112" s="59">
        <f ca="1">AVERAGE(OFFSET($AM$3,0,0,'Données projet'!$E$10+1,1))-AVERAGE(OFFSET($H$3,0,0,'Données projet'!$E$10+1,1))</f>
        <v>349.65790906807746</v>
      </c>
      <c r="AO112" s="59">
        <f t="shared" si="90"/>
        <v>291.88925884278888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71.235407604840645</v>
      </c>
      <c r="AV112" s="21">
        <f>EXP(-LN(2)/25)*AV111+(1-EXP(-LN(2)/25))/(LN(2)/25)*Calculateur!AQ112*Calculateur!AS112*VLOOKUP('Données projet'!$B$10,Paramètres!$A$1:$I$89,3,0)*0.475*44/12</f>
        <v>4.6086951245506853</v>
      </c>
      <c r="AW112" s="21">
        <f>EXP(-LN(2)/2)*AW111+(1-EXP(-LN(2)/2))/(LN(2)/2)*AQ112*AT112*VLOOKUP('Données projet'!$B$10,Paramètres!$A$1:$I$89,3,0)*0.475*44/12</f>
        <v>6.5670007101510828E-14</v>
      </c>
      <c r="AX112" s="21">
        <f t="shared" si="60"/>
        <v>75.844102729391395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319</v>
      </c>
      <c r="BE112" s="13">
        <f>BD112*VLOOKUP('Données projet'!$B$11,Paramètres!$A$1:$I$89,3,0)*VLOOKUP('Données projet'!$B$11,Paramètres!$A$1:$I$89,5,0)</f>
        <v>253.79640000000001</v>
      </c>
      <c r="BF112" s="13">
        <f t="shared" si="91"/>
        <v>61.39816832228076</v>
      </c>
      <c r="BG112" s="20">
        <f t="shared" si="61"/>
        <v>548.96387316130563</v>
      </c>
      <c r="BH112" s="59">
        <f t="shared" si="62"/>
        <v>842.29720649463889</v>
      </c>
      <c r="BI112" s="59">
        <f ca="1">AVERAGE(OFFSET($BH$3,0,0,'Données projet'!$E$11+1,1))-AVERAGE(OFFSET($H$3,0,0,'Données projet'!$E$11+1,1))</f>
        <v>279.49721661620544</v>
      </c>
      <c r="BJ112" s="59">
        <f t="shared" si="92"/>
        <v>275.18739333988754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29.938318997040064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29.938318997040064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266.99999999999983</v>
      </c>
      <c r="BZ112" s="13">
        <f>BY112*VLOOKUP('Données projet'!$B$12,Paramètres!$A$1:$I$89,3,0)*VLOOKUP('Données projet'!$B$12,Paramètres!$A$1:$I$89,5,0)</f>
        <v>258.24239999999986</v>
      </c>
      <c r="CA112" s="13">
        <f t="shared" si="93"/>
        <v>62.347580891234152</v>
      </c>
      <c r="CB112" s="20">
        <f t="shared" si="64"/>
        <v>558.3608833855659</v>
      </c>
      <c r="CC112" s="59">
        <f t="shared" si="65"/>
        <v>851.69421671889927</v>
      </c>
      <c r="CD112" s="59">
        <f ca="1">AVERAGE(OFFSET($CC$3,0,0,'Données projet'!$E$12+1,1))-AVERAGE(OFFSET($H$3,0,0,'Données projet'!$E$12+1,1))</f>
        <v>281.84871057356037</v>
      </c>
      <c r="CE112" s="59">
        <f t="shared" si="94"/>
        <v>276.02211904126887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24.096093209291329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24.096093209291329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319</v>
      </c>
      <c r="CU112" s="17">
        <f>CT112*VLOOKUP('Données projet'!$B$13,Paramètres!$A$1:$I$89,3,0)*VLOOKUP('Données projet'!$B$13,Paramètres!$A$1:$I$89,5,0)</f>
        <v>253.79640000000001</v>
      </c>
      <c r="CV112" s="13">
        <f t="shared" si="95"/>
        <v>61.39816832228076</v>
      </c>
      <c r="CW112" s="20">
        <f t="shared" si="67"/>
        <v>548.96387316130563</v>
      </c>
      <c r="CX112" s="59">
        <f t="shared" si="68"/>
        <v>842.29720649463889</v>
      </c>
      <c r="CY112" s="59">
        <f ca="1">AVERAGE(OFFSET($CX$3,0,0,'Données projet'!$E$13+1,1))-AVERAGE(OFFSET($H$3,0,0,'Données projet'!$E$13+1,1))</f>
        <v>279.49721661620544</v>
      </c>
      <c r="CZ112" s="59">
        <f t="shared" si="96"/>
        <v>275.18739333988754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29.938318997040064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29.938318997040064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4.2</v>
      </c>
      <c r="DO112" s="12">
        <f>IF('Données projet'!$A$166&gt;35,DO111+DN112-DW111,IF(A112&lt;'Données projet'!$A$166,$DL$205^A112,IF(A112='Données projet'!$A$166,'Données projet'!$B$166,DO111+DN112-DW111)))</f>
        <v>280.79999999999995</v>
      </c>
      <c r="DP112" s="17">
        <f>DO112*VLOOKUP('Données projet'!$B$14,Paramètres!$A$1:$I$89,3,0)*VLOOKUP('Données projet'!$B$14,Paramètres!$A$1:$I$89,5,0)</f>
        <v>284.7312</v>
      </c>
      <c r="DQ112" s="13">
        <f t="shared" si="97"/>
        <v>67.96587032005101</v>
      </c>
      <c r="DR112" s="20">
        <f t="shared" si="70"/>
        <v>614.28073080742217</v>
      </c>
      <c r="DS112" s="59">
        <f t="shared" si="71"/>
        <v>907.61406414075554</v>
      </c>
      <c r="DT112" s="59">
        <f ca="1">AVERAGE(OFFSET($DS$3,0,0,'Données projet'!$E$14+1,1))-AVERAGE(OFFSET($H$3,0,0,'Données projet'!$E$14+1,1))</f>
        <v>308.80022073574963</v>
      </c>
      <c r="DU112" s="59">
        <f t="shared" si="98"/>
        <v>183.96267407004115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76.284808624566963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76.284808624566963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266.99999999999983</v>
      </c>
      <c r="EK112" s="17">
        <f>EJ112*VLOOKUP('Données projet'!$B$15,Paramètres!$A$1:$I$89,3,0)*VLOOKUP('Données projet'!$B$15,Paramètres!$A$1:$I$89,5,0)</f>
        <v>174.93839999999989</v>
      </c>
      <c r="EL112" s="13">
        <f t="shared" si="99"/>
        <v>44.194210865203175</v>
      </c>
      <c r="EM112" s="20">
        <f t="shared" si="73"/>
        <v>381.65596392356196</v>
      </c>
      <c r="EN112" s="59">
        <f t="shared" si="74"/>
        <v>674.98929725689527</v>
      </c>
      <c r="EO112" s="59">
        <f ca="1">AVERAGE(OFFSET($EN$3,0,0,'Données projet'!$E$15+1,1))-AVERAGE(OFFSET($H$3,0,0,'Données projet'!$E$15+1,1))</f>
        <v>178.71569711875242</v>
      </c>
      <c r="EP112" s="59">
        <f t="shared" si="100"/>
        <v>178.13848582064168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16.323159915971548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16.323159915971548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4.2</v>
      </c>
      <c r="FE112" s="12">
        <f>IF('Données projet'!$A$218&gt;35,FE111+FD112-FM111,IF(A112&lt;'Données projet'!$A$218,$FB$205^A112,IF(A112='Données projet'!$A$218,'Données projet'!$B$218,FE111+FD112-FM111)))</f>
        <v>280.79999999999995</v>
      </c>
      <c r="FF112" s="17">
        <f>FE112*VLOOKUP('Données projet'!$B$16,Paramètres!$A$1:$I$89,3,0)*VLOOKUP('Données projet'!$B$16,Paramètres!$A$1:$I$89,5,0)</f>
        <v>236.54591999999997</v>
      </c>
      <c r="FG112" s="13">
        <f t="shared" si="101"/>
        <v>57.695742501251033</v>
      </c>
      <c r="FH112" s="20">
        <f t="shared" si="76"/>
        <v>512.47089552301202</v>
      </c>
      <c r="FI112" s="59">
        <f t="shared" si="77"/>
        <v>805.80422885634539</v>
      </c>
      <c r="FJ112" s="59">
        <f ca="1">AVERAGE(OFFSET($FI$3,0,0,'Données projet'!$E$16+1,1))-AVERAGE(OFFSET($H$3,0,0,'Données projet'!$E$16+1,1))</f>
        <v>247.22536892257716</v>
      </c>
      <c r="FK112" s="59">
        <f t="shared" si="102"/>
        <v>147.97952262756075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63.375071780409463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63.375071780409463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6">
        <f t="shared" si="56"/>
        <v>412.2417720294614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249.0000000000002</v>
      </c>
      <c r="O113" s="13">
        <f>N113*VLOOKUP('Données projet'!$B$9,Paramètres!$A$1:$I$89,3,0)*VLOOKUP('Données projet'!$B$9,Paramètres!$A$1:$I$89,5,0)</f>
        <v>217.52640000000019</v>
      </c>
      <c r="P113" s="13">
        <f t="shared" si="87"/>
        <v>53.576907690651304</v>
      </c>
      <c r="Q113" s="20">
        <f t="shared" si="107"/>
        <v>472.17159422788467</v>
      </c>
      <c r="R113" s="59">
        <f t="shared" si="55"/>
        <v>765.50492756121798</v>
      </c>
      <c r="S113" s="59">
        <f ca="1">AVERAGE(OFFSET($R$3,0,0,'Données projet'!$E$9+1,1))-AVERAGE(OFFSET($H$3,0,0,'Données projet'!$E$9+1,1))</f>
        <v>253.73326067725128</v>
      </c>
      <c r="T113" s="59">
        <f t="shared" si="88"/>
        <v>317.76427047458026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28.281544551901224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28.281544551901224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732.99999999999966</v>
      </c>
      <c r="AJ113" s="13">
        <f>AI113*VLOOKUP('Données projet'!$B$10,Paramètres!$A$1:$I$89,3,0)*VLOOKUP('Données projet'!$B$10,Paramètres!$A$1:$I$89,5,0)</f>
        <v>352.57299999999987</v>
      </c>
      <c r="AK113" s="13">
        <f t="shared" si="89"/>
        <v>82.092092597941644</v>
      </c>
      <c r="AL113" s="20">
        <f t="shared" si="58"/>
        <v>757.04170294141477</v>
      </c>
      <c r="AM113" s="59">
        <f t="shared" si="59"/>
        <v>1050.375036274748</v>
      </c>
      <c r="AN113" s="59">
        <f ca="1">AVERAGE(OFFSET($AM$3,0,0,'Données projet'!$E$10+1,1))-AVERAGE(OFFSET($H$3,0,0,'Données projet'!$E$10+1,1))</f>
        <v>349.65790906807746</v>
      </c>
      <c r="AO113" s="59">
        <f t="shared" si="90"/>
        <v>291.88925884278888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69.838524711018096</v>
      </c>
      <c r="AV113" s="21">
        <f>EXP(-LN(2)/25)*AV112+(1-EXP(-LN(2)/25))/(LN(2)/25)*Calculateur!AQ113*Calculateur!AS113*VLOOKUP('Données projet'!$B$10,Paramètres!$A$1:$I$89,3,0)*0.475*44/12</f>
        <v>4.4826701140091032</v>
      </c>
      <c r="AW113" s="21">
        <f>EXP(-LN(2)/2)*AW112+(1-EXP(-LN(2)/2))/(LN(2)/2)*AQ113*AT113*VLOOKUP('Données projet'!$B$10,Paramètres!$A$1:$I$89,3,0)*0.475*44/12</f>
        <v>4.6435707342047039E-14</v>
      </c>
      <c r="AX113" s="21">
        <f t="shared" si="60"/>
        <v>74.321194825027234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319</v>
      </c>
      <c r="BE113" s="13">
        <f>BD113*VLOOKUP('Données projet'!$B$11,Paramètres!$A$1:$I$89,3,0)*VLOOKUP('Données projet'!$B$11,Paramètres!$A$1:$I$89,5,0)</f>
        <v>253.79640000000001</v>
      </c>
      <c r="BF113" s="13">
        <f t="shared" si="91"/>
        <v>61.39816832228076</v>
      </c>
      <c r="BG113" s="20">
        <f t="shared" si="61"/>
        <v>548.96387316130563</v>
      </c>
      <c r="BH113" s="59">
        <f t="shared" si="62"/>
        <v>842.29720649463889</v>
      </c>
      <c r="BI113" s="59">
        <f ca="1">AVERAGE(OFFSET($BH$3,0,0,'Données projet'!$E$11+1,1))-AVERAGE(OFFSET($H$3,0,0,'Données projet'!$E$11+1,1))</f>
        <v>279.49721661620544</v>
      </c>
      <c r="BJ113" s="59">
        <f t="shared" si="92"/>
        <v>275.18739333988754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29.351246822079613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29.351246822079613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266.99999999999983</v>
      </c>
      <c r="BZ113" s="13">
        <f>BY113*VLOOKUP('Données projet'!$B$12,Paramètres!$A$1:$I$89,3,0)*VLOOKUP('Données projet'!$B$12,Paramètres!$A$1:$I$89,5,0)</f>
        <v>258.24239999999986</v>
      </c>
      <c r="CA113" s="13">
        <f t="shared" si="93"/>
        <v>62.347580891234152</v>
      </c>
      <c r="CB113" s="20">
        <f t="shared" si="64"/>
        <v>558.3608833855659</v>
      </c>
      <c r="CC113" s="59">
        <f t="shared" si="65"/>
        <v>851.69421671889927</v>
      </c>
      <c r="CD113" s="59">
        <f ca="1">AVERAGE(OFFSET($CC$3,0,0,'Données projet'!$E$12+1,1))-AVERAGE(OFFSET($H$3,0,0,'Données projet'!$E$12+1,1))</f>
        <v>281.84871057356037</v>
      </c>
      <c r="CE113" s="59">
        <f t="shared" si="94"/>
        <v>276.02211904126887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23.623583518622759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23.623583518622759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319</v>
      </c>
      <c r="CU113" s="17">
        <f>CT113*VLOOKUP('Données projet'!$B$13,Paramètres!$A$1:$I$89,3,0)*VLOOKUP('Données projet'!$B$13,Paramètres!$A$1:$I$89,5,0)</f>
        <v>253.79640000000001</v>
      </c>
      <c r="CV113" s="13">
        <f t="shared" si="95"/>
        <v>61.39816832228076</v>
      </c>
      <c r="CW113" s="20">
        <f t="shared" si="67"/>
        <v>548.96387316130563</v>
      </c>
      <c r="CX113" s="59">
        <f t="shared" si="68"/>
        <v>842.29720649463889</v>
      </c>
      <c r="CY113" s="59">
        <f ca="1">AVERAGE(OFFSET($CX$3,0,0,'Données projet'!$E$13+1,1))-AVERAGE(OFFSET($H$3,0,0,'Données projet'!$E$13+1,1))</f>
        <v>279.49721661620544</v>
      </c>
      <c r="CZ113" s="59">
        <f t="shared" si="96"/>
        <v>275.18739333988754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29.351246822079613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29.351246822079613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>
        <f>VLOOKUP(A113,'Données projet'!$A$165:$I$185,2,0)</f>
        <v>285</v>
      </c>
      <c r="DM113" s="12">
        <f>VLOOKUP(A113,'Données projet'!$A$165:$I$185,9,0)</f>
        <v>4.2</v>
      </c>
      <c r="DN113" s="12">
        <f t="array" ref="DN113">INDEX(DM:DM,MIN(IF(ISNUMBER(DM113:DM309),ROW(DM113:DM309),"")))</f>
        <v>4.2</v>
      </c>
      <c r="DO113" s="12">
        <f>IF('Données projet'!$A$166&gt;35,DO112+DN113-DW112,IF(A113&lt;'Données projet'!$A$166,$DL$205^A113,IF(A113='Données projet'!$A$166,'Données projet'!$B$166,DO112+DN113-DW112)))</f>
        <v>284.99999999999994</v>
      </c>
      <c r="DP113" s="17">
        <f>DO113*VLOOKUP('Données projet'!$B$14,Paramètres!$A$1:$I$89,3,0)*VLOOKUP('Données projet'!$B$14,Paramètres!$A$1:$I$89,5,0)</f>
        <v>288.98999999999995</v>
      </c>
      <c r="DQ113" s="13">
        <f t="shared" si="97"/>
        <v>68.863345904836791</v>
      </c>
      <c r="DR113" s="20">
        <f t="shared" si="70"/>
        <v>623.26124411759065</v>
      </c>
      <c r="DS113" s="59">
        <f t="shared" si="71"/>
        <v>916.59457745092391</v>
      </c>
      <c r="DT113" s="59">
        <f ca="1">AVERAGE(OFFSET($DS$3,0,0,'Données projet'!$E$14+1,1))-AVERAGE(OFFSET($H$3,0,0,'Données projet'!$E$14+1,1))</f>
        <v>308.80022073574963</v>
      </c>
      <c r="DU113" s="59">
        <f t="shared" si="98"/>
        <v>183.96267407004115</v>
      </c>
      <c r="DV113" s="15">
        <f>IF(ISNA(VLOOKUP(A113,'Données projet'!$A$165:$I$185,3,0)),0,VLOOKUP(A113,'Données projet'!$A$165:$I$185,3,0))</f>
        <v>18</v>
      </c>
      <c r="DW113" s="15">
        <f>IF(ISNA(VLOOKUP(A113,'Données projet'!$A$165:$I$185,4,0)),0,VLOOKUP(A113,'Données projet'!$A$165:$I$185,4,0))</f>
        <v>19</v>
      </c>
      <c r="DX113" s="16">
        <f>IF(ISNA(VLOOKUP(A113,'Données projet'!$A$165:$I$185,5,0)),0%,VLOOKUP(A113,'Données projet'!$A$165:$I$185,5,0)*VLOOKUP('Données projet'!$B$14,Paramètres!$A$1:$I$89,7,0))</f>
        <v>0.43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83.947046759373265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83.947046759373265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266.99999999999983</v>
      </c>
      <c r="EK113" s="17">
        <f>EJ113*VLOOKUP('Données projet'!$B$15,Paramètres!$A$1:$I$89,3,0)*VLOOKUP('Données projet'!$B$15,Paramètres!$A$1:$I$89,5,0)</f>
        <v>174.93839999999989</v>
      </c>
      <c r="EL113" s="13">
        <f t="shared" si="99"/>
        <v>44.194210865203175</v>
      </c>
      <c r="EM113" s="20">
        <f t="shared" si="73"/>
        <v>381.65596392356196</v>
      </c>
      <c r="EN113" s="59">
        <f t="shared" si="74"/>
        <v>674.98929725689527</v>
      </c>
      <c r="EO113" s="59">
        <f ca="1">AVERAGE(OFFSET($EN$3,0,0,'Données projet'!$E$15+1,1))-AVERAGE(OFFSET($H$3,0,0,'Données projet'!$E$15+1,1))</f>
        <v>178.71569711875242</v>
      </c>
      <c r="EP113" s="59">
        <f t="shared" si="100"/>
        <v>178.13848582064168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16.003072706163806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16.003072706163806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>
        <f>VLOOKUP(A113,'Données projet'!$A$217:$I$237,2,0)</f>
        <v>285</v>
      </c>
      <c r="FC113" s="12">
        <f>VLOOKUP(A113,'Données projet'!$A$217:$I$237,9,0)</f>
        <v>4.2</v>
      </c>
      <c r="FD113" s="12">
        <f t="array" ref="FD113">INDEX(FC:FC,MIN(IF(ISNUMBER(FC113:FC309),ROW(FC113:FC309),"")))</f>
        <v>4.2</v>
      </c>
      <c r="FE113" s="12">
        <f>IF('Données projet'!$A$218&gt;35,FE112+FD113-FM112,IF(A113&lt;'Données projet'!$A$218,$FB$205^A113,IF(A113='Données projet'!$A$218,'Données projet'!$B$218,FE112+FD113-FM112)))</f>
        <v>284.99999999999994</v>
      </c>
      <c r="FF113" s="17">
        <f>FE113*VLOOKUP('Données projet'!$B$16,Paramètres!$A$1:$I$89,3,0)*VLOOKUP('Données projet'!$B$16,Paramètres!$A$1:$I$89,5,0)</f>
        <v>240.08399999999997</v>
      </c>
      <c r="FG113" s="13">
        <f t="shared" si="101"/>
        <v>58.457603123312154</v>
      </c>
      <c r="FH113" s="20">
        <f t="shared" si="76"/>
        <v>519.9599587731019</v>
      </c>
      <c r="FI113" s="59">
        <f t="shared" si="77"/>
        <v>813.29329210643527</v>
      </c>
      <c r="FJ113" s="59">
        <f ca="1">AVERAGE(OFFSET($FI$3,0,0,'Données projet'!$E$16+1,1))-AVERAGE(OFFSET($H$3,0,0,'Données projet'!$E$16+1,1))</f>
        <v>247.22536892257716</v>
      </c>
      <c r="FK113" s="59">
        <f t="shared" si="102"/>
        <v>147.97952262756075</v>
      </c>
      <c r="FL113" s="15">
        <f>IF(ISNA(VLOOKUP(A113,'Données projet'!$A$217:$I$237,3,0)),0,VLOOKUP(A113,'Données projet'!$A$217:$I$237,3,0))</f>
        <v>18</v>
      </c>
      <c r="FM113" s="15">
        <f>IF(ISNA(VLOOKUP(A113,'Données projet'!$A$217:$I$237,4,0)),0,VLOOKUP(A113,'Données projet'!$A$217:$I$237,4,0))</f>
        <v>19</v>
      </c>
      <c r="FN113" s="16">
        <f>IF(ISNA(VLOOKUP(A113,'Données projet'!$A$217:$I$237,5,0)),0%,VLOOKUP(A113,'Données projet'!$A$217:$I$237,5,0)*VLOOKUP('Données projet'!$B$16,Paramètres!$A$1:$I$89,7,0))</f>
        <v>0.43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69.740623461633177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69.740623461633177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6">
        <f t="shared" si="56"/>
        <v>413.29433088301869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249.0000000000002</v>
      </c>
      <c r="O114" s="13">
        <f>N114*VLOOKUP('Données projet'!$B$9,Paramètres!$A$1:$I$89,3,0)*VLOOKUP('Données projet'!$B$9,Paramètres!$A$1:$I$89,5,0)</f>
        <v>217.52640000000019</v>
      </c>
      <c r="P114" s="13">
        <f t="shared" si="87"/>
        <v>53.576907690651304</v>
      </c>
      <c r="Q114" s="20">
        <f t="shared" si="107"/>
        <v>472.17159422788467</v>
      </c>
      <c r="R114" s="59">
        <f t="shared" si="55"/>
        <v>765.50492756121798</v>
      </c>
      <c r="S114" s="59">
        <f ca="1">AVERAGE(OFFSET($R$3,0,0,'Données projet'!$E$9+1,1))-AVERAGE(OFFSET($H$3,0,0,'Données projet'!$E$9+1,1))</f>
        <v>253.73326067725128</v>
      </c>
      <c r="T114" s="59">
        <f t="shared" si="88"/>
        <v>317.76427047458026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27.726960713277318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27.726960713277318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732.99999999999966</v>
      </c>
      <c r="AJ114" s="13">
        <f>AI114*VLOOKUP('Données projet'!$B$10,Paramètres!$A$1:$I$89,3,0)*VLOOKUP('Données projet'!$B$10,Paramètres!$A$1:$I$89,5,0)</f>
        <v>352.57299999999987</v>
      </c>
      <c r="AK114" s="13">
        <f t="shared" si="89"/>
        <v>82.092092597941644</v>
      </c>
      <c r="AL114" s="20">
        <f t="shared" si="58"/>
        <v>757.04170294141477</v>
      </c>
      <c r="AM114" s="59">
        <f t="shared" si="59"/>
        <v>1050.375036274748</v>
      </c>
      <c r="AN114" s="59">
        <f ca="1">AVERAGE(OFFSET($AM$3,0,0,'Données projet'!$E$10+1,1))-AVERAGE(OFFSET($H$3,0,0,'Données projet'!$E$10+1,1))</f>
        <v>349.65790906807746</v>
      </c>
      <c r="AO114" s="59">
        <f t="shared" si="90"/>
        <v>291.88925884278888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68.469033838728976</v>
      </c>
      <c r="AV114" s="21">
        <f>EXP(-LN(2)/25)*AV113+(1-EXP(-LN(2)/25))/(LN(2)/25)*Calculateur!AQ114*Calculateur!AS114*VLOOKUP('Données projet'!$B$10,Paramètres!$A$1:$I$89,3,0)*0.475*44/12</f>
        <v>4.3600912640081484</v>
      </c>
      <c r="AW114" s="21">
        <f>EXP(-LN(2)/2)*AW113+(1-EXP(-LN(2)/2))/(LN(2)/2)*AQ114*AT114*VLOOKUP('Données projet'!$B$10,Paramètres!$A$1:$I$89,3,0)*0.475*44/12</f>
        <v>3.2835003550755414E-14</v>
      </c>
      <c r="AX114" s="21">
        <f t="shared" si="60"/>
        <v>72.829125102737152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319</v>
      </c>
      <c r="BE114" s="13">
        <f>BD114*VLOOKUP('Données projet'!$B$11,Paramètres!$A$1:$I$89,3,0)*VLOOKUP('Données projet'!$B$11,Paramètres!$A$1:$I$89,5,0)</f>
        <v>253.79640000000001</v>
      </c>
      <c r="BF114" s="13">
        <f t="shared" si="91"/>
        <v>61.39816832228076</v>
      </c>
      <c r="BG114" s="20">
        <f t="shared" si="61"/>
        <v>548.96387316130563</v>
      </c>
      <c r="BH114" s="59">
        <f t="shared" si="62"/>
        <v>842.29720649463889</v>
      </c>
      <c r="BI114" s="59">
        <f ca="1">AVERAGE(OFFSET($BH$3,0,0,'Données projet'!$E$11+1,1))-AVERAGE(OFFSET($H$3,0,0,'Données projet'!$E$11+1,1))</f>
        <v>279.49721661620544</v>
      </c>
      <c r="BJ114" s="59">
        <f t="shared" si="92"/>
        <v>275.18739333988754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28.77568677439147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28.77568677439147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266.99999999999983</v>
      </c>
      <c r="BZ114" s="13">
        <f>BY114*VLOOKUP('Données projet'!$B$12,Paramètres!$A$1:$I$89,3,0)*VLOOKUP('Données projet'!$B$12,Paramètres!$A$1:$I$89,5,0)</f>
        <v>258.24239999999986</v>
      </c>
      <c r="CA114" s="13">
        <f t="shared" si="93"/>
        <v>62.347580891234152</v>
      </c>
      <c r="CB114" s="20">
        <f t="shared" si="64"/>
        <v>558.3608833855659</v>
      </c>
      <c r="CC114" s="59">
        <f t="shared" si="65"/>
        <v>851.69421671889927</v>
      </c>
      <c r="CD114" s="59">
        <f ca="1">AVERAGE(OFFSET($CC$3,0,0,'Données projet'!$E$12+1,1))-AVERAGE(OFFSET($H$3,0,0,'Données projet'!$E$12+1,1))</f>
        <v>281.84871057356037</v>
      </c>
      <c r="CE114" s="59">
        <f t="shared" si="94"/>
        <v>276.02211904126887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23.160339454785746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23.160339454785746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319</v>
      </c>
      <c r="CU114" s="17">
        <f>CT114*VLOOKUP('Données projet'!$B$13,Paramètres!$A$1:$I$89,3,0)*VLOOKUP('Données projet'!$B$13,Paramètres!$A$1:$I$89,5,0)</f>
        <v>253.79640000000001</v>
      </c>
      <c r="CV114" s="13">
        <f t="shared" si="95"/>
        <v>61.39816832228076</v>
      </c>
      <c r="CW114" s="20">
        <f t="shared" si="67"/>
        <v>548.96387316130563</v>
      </c>
      <c r="CX114" s="59">
        <f t="shared" si="68"/>
        <v>842.29720649463889</v>
      </c>
      <c r="CY114" s="59">
        <f ca="1">AVERAGE(OFFSET($CX$3,0,0,'Données projet'!$E$13+1,1))-AVERAGE(OFFSET($H$3,0,0,'Données projet'!$E$13+1,1))</f>
        <v>279.49721661620544</v>
      </c>
      <c r="CZ114" s="59">
        <f t="shared" si="96"/>
        <v>275.18739333988754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28.77568677439147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28.77568677439147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3.8</v>
      </c>
      <c r="DO114" s="12">
        <f>IF('Données projet'!$A$166&gt;35,DO113+DN114-DW113,IF(A114&lt;'Données projet'!$A$166,$DL$205^A114,IF(A114='Données projet'!$A$166,'Données projet'!$B$166,DO113+DN114-DW113)))</f>
        <v>269.79999999999995</v>
      </c>
      <c r="DP114" s="17">
        <f>DO114*VLOOKUP('Données projet'!$B$14,Paramètres!$A$1:$I$89,3,0)*VLOOKUP('Données projet'!$B$14,Paramètres!$A$1:$I$89,5,0)</f>
        <v>273.57719999999995</v>
      </c>
      <c r="DQ114" s="13">
        <f t="shared" si="97"/>
        <v>65.60785888991505</v>
      </c>
      <c r="DR114" s="20">
        <f t="shared" si="70"/>
        <v>590.74731089993531</v>
      </c>
      <c r="DS114" s="59">
        <f t="shared" si="71"/>
        <v>884.08064423326869</v>
      </c>
      <c r="DT114" s="59">
        <f ca="1">AVERAGE(OFFSET($DS$3,0,0,'Données projet'!$E$14+1,1))-AVERAGE(OFFSET($H$3,0,0,'Données projet'!$E$14+1,1))</f>
        <v>308.80022073574963</v>
      </c>
      <c r="DU114" s="59">
        <f t="shared" si="98"/>
        <v>183.96267407004115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82.300896375064639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82.300896375064639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266.99999999999983</v>
      </c>
      <c r="EK114" s="17">
        <f>EJ114*VLOOKUP('Données projet'!$B$15,Paramètres!$A$1:$I$89,3,0)*VLOOKUP('Données projet'!$B$15,Paramètres!$A$1:$I$89,5,0)</f>
        <v>174.93839999999989</v>
      </c>
      <c r="EL114" s="13">
        <f t="shared" si="99"/>
        <v>44.194210865203175</v>
      </c>
      <c r="EM114" s="20">
        <f t="shared" si="73"/>
        <v>381.65596392356196</v>
      </c>
      <c r="EN114" s="59">
        <f t="shared" si="74"/>
        <v>674.98929725689527</v>
      </c>
      <c r="EO114" s="59">
        <f ca="1">AVERAGE(OFFSET($EN$3,0,0,'Données projet'!$E$15+1,1))-AVERAGE(OFFSET($H$3,0,0,'Données projet'!$E$15+1,1))</f>
        <v>178.71569711875242</v>
      </c>
      <c r="EP114" s="59">
        <f t="shared" si="100"/>
        <v>178.13848582064168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15.689262211306474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15.689262211306474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3.8</v>
      </c>
      <c r="FE114" s="12">
        <f>IF('Données projet'!$A$218&gt;35,FE113+FD114-FM113,IF(A114&lt;'Données projet'!$A$218,$FB$205^A114,IF(A114='Données projet'!$A$218,'Données projet'!$B$218,FE113+FD114-FM113)))</f>
        <v>269.79999999999995</v>
      </c>
      <c r="FF114" s="17">
        <f>FE114*VLOOKUP('Données projet'!$B$16,Paramètres!$A$1:$I$89,3,0)*VLOOKUP('Données projet'!$B$16,Paramètres!$A$1:$I$89,5,0)</f>
        <v>227.27951999999996</v>
      </c>
      <c r="FG114" s="13">
        <f t="shared" si="101"/>
        <v>55.694043418351306</v>
      </c>
      <c r="FH114" s="20">
        <f t="shared" si="76"/>
        <v>492.84562295362849</v>
      </c>
      <c r="FI114" s="59">
        <f t="shared" si="77"/>
        <v>786.17895628696181</v>
      </c>
      <c r="FJ114" s="59">
        <f ca="1">AVERAGE(OFFSET($FI$3,0,0,'Données projet'!$E$16+1,1))-AVERAGE(OFFSET($H$3,0,0,'Données projet'!$E$16+1,1))</f>
        <v>247.22536892257716</v>
      </c>
      <c r="FK114" s="59">
        <f t="shared" si="102"/>
        <v>147.97952262756075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68.373052373130619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68.373052373130619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6">
        <f t="shared" si="56"/>
        <v>414.34666458367406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249.0000000000002</v>
      </c>
      <c r="O115" s="13">
        <f>N115*VLOOKUP('Données projet'!$B$9,Paramètres!$A$1:$I$89,3,0)*VLOOKUP('Données projet'!$B$9,Paramètres!$A$1:$I$89,5,0)</f>
        <v>217.52640000000019</v>
      </c>
      <c r="P115" s="13">
        <f t="shared" si="87"/>
        <v>53.576907690651304</v>
      </c>
      <c r="Q115" s="20">
        <f t="shared" si="107"/>
        <v>472.17159422788467</v>
      </c>
      <c r="R115" s="59">
        <f t="shared" si="55"/>
        <v>765.50492756121798</v>
      </c>
      <c r="S115" s="59">
        <f ca="1">AVERAGE(OFFSET($R$3,0,0,'Données projet'!$E$9+1,1))-AVERAGE(OFFSET($H$3,0,0,'Données projet'!$E$9+1,1))</f>
        <v>253.73326067725128</v>
      </c>
      <c r="T115" s="59">
        <f t="shared" si="88"/>
        <v>317.76427047458026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27.183251925466084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27.183251925466084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732.99999999999966</v>
      </c>
      <c r="AJ115" s="13">
        <f>AI115*VLOOKUP('Données projet'!$B$10,Paramètres!$A$1:$I$89,3,0)*VLOOKUP('Données projet'!$B$10,Paramètres!$A$1:$I$89,5,0)</f>
        <v>352.57299999999987</v>
      </c>
      <c r="AK115" s="13">
        <f t="shared" si="89"/>
        <v>82.092092597941644</v>
      </c>
      <c r="AL115" s="20">
        <f t="shared" si="58"/>
        <v>757.04170294141477</v>
      </c>
      <c r="AM115" s="59">
        <f t="shared" si="59"/>
        <v>1050.375036274748</v>
      </c>
      <c r="AN115" s="59">
        <f ca="1">AVERAGE(OFFSET($AM$3,0,0,'Données projet'!$E$10+1,1))-AVERAGE(OFFSET($H$3,0,0,'Données projet'!$E$10+1,1))</f>
        <v>349.65790906807746</v>
      </c>
      <c r="AO115" s="59">
        <f t="shared" si="90"/>
        <v>291.88925884278888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67.126397847138492</v>
      </c>
      <c r="AV115" s="21">
        <f>EXP(-LN(2)/25)*AV114+(1-EXP(-LN(2)/25))/(LN(2)/25)*Calculateur!AQ115*Calculateur!AS115*VLOOKUP('Données projet'!$B$10,Paramètres!$A$1:$I$89,3,0)*0.475*44/12</f>
        <v>4.2408643391066114</v>
      </c>
      <c r="AW115" s="21">
        <f>EXP(-LN(2)/2)*AW114+(1-EXP(-LN(2)/2))/(LN(2)/2)*AQ115*AT115*VLOOKUP('Données projet'!$B$10,Paramètres!$A$1:$I$89,3,0)*0.475*44/12</f>
        <v>2.321785367102352E-14</v>
      </c>
      <c r="AX115" s="21">
        <f t="shared" si="60"/>
        <v>71.367262186245128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319</v>
      </c>
      <c r="BE115" s="13">
        <f>BD115*VLOOKUP('Données projet'!$B$11,Paramètres!$A$1:$I$89,3,0)*VLOOKUP('Données projet'!$B$11,Paramètres!$A$1:$I$89,5,0)</f>
        <v>253.79640000000001</v>
      </c>
      <c r="BF115" s="13">
        <f t="shared" si="91"/>
        <v>61.39816832228076</v>
      </c>
      <c r="BG115" s="20">
        <f t="shared" si="61"/>
        <v>548.96387316130563</v>
      </c>
      <c r="BH115" s="59">
        <f t="shared" si="62"/>
        <v>842.29720649463889</v>
      </c>
      <c r="BI115" s="59">
        <f ca="1">AVERAGE(OFFSET($BH$3,0,0,'Données projet'!$E$11+1,1))-AVERAGE(OFFSET($H$3,0,0,'Données projet'!$E$11+1,1))</f>
        <v>279.49721661620544</v>
      </c>
      <c r="BJ115" s="59">
        <f t="shared" si="92"/>
        <v>275.18739333988754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28.211413108181524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28.211413108181524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266.99999999999983</v>
      </c>
      <c r="BZ115" s="13">
        <f>BY115*VLOOKUP('Données projet'!$B$12,Paramètres!$A$1:$I$89,3,0)*VLOOKUP('Données projet'!$B$12,Paramètres!$A$1:$I$89,5,0)</f>
        <v>258.24239999999986</v>
      </c>
      <c r="CA115" s="13">
        <f t="shared" si="93"/>
        <v>62.347580891234152</v>
      </c>
      <c r="CB115" s="20">
        <f t="shared" si="64"/>
        <v>558.3608833855659</v>
      </c>
      <c r="CC115" s="59">
        <f t="shared" si="65"/>
        <v>851.69421671889927</v>
      </c>
      <c r="CD115" s="59">
        <f ca="1">AVERAGE(OFFSET($CC$3,0,0,'Données projet'!$E$12+1,1))-AVERAGE(OFFSET($H$3,0,0,'Données projet'!$E$12+1,1))</f>
        <v>281.84871057356037</v>
      </c>
      <c r="CE115" s="59">
        <f t="shared" si="94"/>
        <v>276.02211904126887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22.706179324489597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22.706179324489597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319</v>
      </c>
      <c r="CU115" s="17">
        <f>CT115*VLOOKUP('Données projet'!$B$13,Paramètres!$A$1:$I$89,3,0)*VLOOKUP('Données projet'!$B$13,Paramètres!$A$1:$I$89,5,0)</f>
        <v>253.79640000000001</v>
      </c>
      <c r="CV115" s="13">
        <f t="shared" si="95"/>
        <v>61.39816832228076</v>
      </c>
      <c r="CW115" s="20">
        <f t="shared" si="67"/>
        <v>548.96387316130563</v>
      </c>
      <c r="CX115" s="59">
        <f t="shared" si="68"/>
        <v>842.29720649463889</v>
      </c>
      <c r="CY115" s="59">
        <f ca="1">AVERAGE(OFFSET($CX$3,0,0,'Données projet'!$E$13+1,1))-AVERAGE(OFFSET($H$3,0,0,'Données projet'!$E$13+1,1))</f>
        <v>279.49721661620544</v>
      </c>
      <c r="CZ115" s="59">
        <f t="shared" si="96"/>
        <v>275.18739333988754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28.211413108181524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28.211413108181524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3.8</v>
      </c>
      <c r="DO115" s="12">
        <f>IF('Données projet'!$A$166&gt;35,DO114+DN115-DW114,IF(A115&lt;'Données projet'!$A$166,$DL$205^A115,IF(A115='Données projet'!$A$166,'Données projet'!$B$166,DO114+DN115-DW114)))</f>
        <v>273.59999999999997</v>
      </c>
      <c r="DP115" s="17">
        <f>DO115*VLOOKUP('Données projet'!$B$14,Paramètres!$A$1:$I$89,3,0)*VLOOKUP('Données projet'!$B$14,Paramètres!$A$1:$I$89,5,0)</f>
        <v>277.43039999999996</v>
      </c>
      <c r="DQ115" s="13">
        <f t="shared" si="97"/>
        <v>66.423687500715673</v>
      </c>
      <c r="DR115" s="20">
        <f t="shared" si="70"/>
        <v>598.87920239707967</v>
      </c>
      <c r="DS115" s="59">
        <f t="shared" si="71"/>
        <v>892.21253573041304</v>
      </c>
      <c r="DT115" s="59">
        <f ca="1">AVERAGE(OFFSET($DS$3,0,0,'Données projet'!$E$14+1,1))-AVERAGE(OFFSET($H$3,0,0,'Données projet'!$E$14+1,1))</f>
        <v>308.80022073574963</v>
      </c>
      <c r="DU115" s="59">
        <f t="shared" si="98"/>
        <v>183.96267407004115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80.687025995739717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80.687025995739717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266.99999999999983</v>
      </c>
      <c r="EK115" s="17">
        <f>EJ115*VLOOKUP('Données projet'!$B$15,Paramètres!$A$1:$I$89,3,0)*VLOOKUP('Données projet'!$B$15,Paramètres!$A$1:$I$89,5,0)</f>
        <v>174.93839999999989</v>
      </c>
      <c r="EL115" s="13">
        <f t="shared" si="99"/>
        <v>44.194210865203175</v>
      </c>
      <c r="EM115" s="20">
        <f t="shared" si="73"/>
        <v>381.65596392356196</v>
      </c>
      <c r="EN115" s="59">
        <f t="shared" si="74"/>
        <v>674.98929725689527</v>
      </c>
      <c r="EO115" s="59">
        <f ca="1">AVERAGE(OFFSET($EN$3,0,0,'Données projet'!$E$15+1,1))-AVERAGE(OFFSET($H$3,0,0,'Données projet'!$E$15+1,1))</f>
        <v>178.71569711875242</v>
      </c>
      <c r="EP115" s="59">
        <f t="shared" si="100"/>
        <v>178.13848582064168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15.381605348847792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15.381605348847792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3.8</v>
      </c>
      <c r="FE115" s="12">
        <f>IF('Données projet'!$A$218&gt;35,FE114+FD115-FM114,IF(A115&lt;'Données projet'!$A$218,$FB$205^A115,IF(A115='Données projet'!$A$218,'Données projet'!$B$218,FE114+FD115-FM114)))</f>
        <v>273.59999999999997</v>
      </c>
      <c r="FF115" s="17">
        <f>FE115*VLOOKUP('Données projet'!$B$16,Paramètres!$A$1:$I$89,3,0)*VLOOKUP('Données projet'!$B$16,Paramètres!$A$1:$I$89,5,0)</f>
        <v>230.48063999999999</v>
      </c>
      <c r="FG115" s="13">
        <f t="shared" si="101"/>
        <v>56.386594506599792</v>
      </c>
      <c r="FH115" s="20">
        <f t="shared" si="76"/>
        <v>499.62710009899462</v>
      </c>
      <c r="FI115" s="59">
        <f t="shared" si="77"/>
        <v>792.96043343232793</v>
      </c>
      <c r="FJ115" s="59">
        <f ca="1">AVERAGE(OFFSET($FI$3,0,0,'Données projet'!$E$16+1,1))-AVERAGE(OFFSET($H$3,0,0,'Données projet'!$E$16+1,1))</f>
        <v>247.22536892257716</v>
      </c>
      <c r="FK115" s="59">
        <f t="shared" si="102"/>
        <v>147.97952262756075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67.032298519537605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67.032298519537605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6">
        <f t="shared" si="56"/>
        <v>415.39877537461348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249.0000000000002</v>
      </c>
      <c r="O116" s="13">
        <f>N116*VLOOKUP('Données projet'!$B$9,Paramètres!$A$1:$I$89,3,0)*VLOOKUP('Données projet'!$B$9,Paramètres!$A$1:$I$89,5,0)</f>
        <v>217.52640000000019</v>
      </c>
      <c r="P116" s="13">
        <f t="shared" si="87"/>
        <v>53.576907690651304</v>
      </c>
      <c r="Q116" s="20">
        <f t="shared" si="107"/>
        <v>472.17159422788467</v>
      </c>
      <c r="R116" s="59">
        <f t="shared" si="55"/>
        <v>765.50492756121798</v>
      </c>
      <c r="S116" s="59">
        <f ca="1">AVERAGE(OFFSET($R$3,0,0,'Données projet'!$E$9+1,1))-AVERAGE(OFFSET($H$3,0,0,'Données projet'!$E$9+1,1))</f>
        <v>253.73326067725128</v>
      </c>
      <c r="T116" s="59">
        <f t="shared" si="88"/>
        <v>317.76427047458026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26.650204935354214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26.650204935354214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732.99999999999966</v>
      </c>
      <c r="AJ116" s="13">
        <f>AI116*VLOOKUP('Données projet'!$B$10,Paramètres!$A$1:$I$89,3,0)*VLOOKUP('Données projet'!$B$10,Paramètres!$A$1:$I$89,5,0)</f>
        <v>352.57299999999987</v>
      </c>
      <c r="AK116" s="13">
        <f t="shared" si="89"/>
        <v>82.092092597941644</v>
      </c>
      <c r="AL116" s="20">
        <f t="shared" si="58"/>
        <v>757.04170294141477</v>
      </c>
      <c r="AM116" s="59">
        <f t="shared" si="59"/>
        <v>1050.375036274748</v>
      </c>
      <c r="AN116" s="59">
        <f ca="1">AVERAGE(OFFSET($AM$3,0,0,'Données projet'!$E$10+1,1))-AVERAGE(OFFSET($H$3,0,0,'Données projet'!$E$10+1,1))</f>
        <v>349.65790906807746</v>
      </c>
      <c r="AO116" s="59">
        <f t="shared" si="90"/>
        <v>291.88925884278888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65.810090128416007</v>
      </c>
      <c r="AV116" s="21">
        <f>EXP(-LN(2)/25)*AV115+(1-EXP(-LN(2)/25))/(LN(2)/25)*Calculateur!AQ116*Calculateur!AS116*VLOOKUP('Données projet'!$B$10,Paramètres!$A$1:$I$89,3,0)*0.475*44/12</f>
        <v>4.1248976807363782</v>
      </c>
      <c r="AW116" s="21">
        <f>EXP(-LN(2)/2)*AW115+(1-EXP(-LN(2)/2))/(LN(2)/2)*AQ116*AT116*VLOOKUP('Données projet'!$B$10,Paramètres!$A$1:$I$89,3,0)*0.475*44/12</f>
        <v>1.6417501775377707E-14</v>
      </c>
      <c r="AX116" s="21">
        <f t="shared" si="60"/>
        <v>69.934987809152403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319</v>
      </c>
      <c r="BE116" s="13">
        <f>BD116*VLOOKUP('Données projet'!$B$11,Paramètres!$A$1:$I$89,3,0)*VLOOKUP('Données projet'!$B$11,Paramètres!$A$1:$I$89,5,0)</f>
        <v>253.79640000000001</v>
      </c>
      <c r="BF116" s="13">
        <f t="shared" si="91"/>
        <v>61.39816832228076</v>
      </c>
      <c r="BG116" s="20">
        <f t="shared" si="61"/>
        <v>548.96387316130563</v>
      </c>
      <c r="BH116" s="59">
        <f t="shared" si="62"/>
        <v>842.29720649463889</v>
      </c>
      <c r="BI116" s="59">
        <f ca="1">AVERAGE(OFFSET($BH$3,0,0,'Données projet'!$E$11+1,1))-AVERAGE(OFFSET($H$3,0,0,'Données projet'!$E$11+1,1))</f>
        <v>279.49721661620544</v>
      </c>
      <c r="BJ116" s="59">
        <f t="shared" si="92"/>
        <v>275.18739333988754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27.658204504393005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27.658204504393005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266.99999999999983</v>
      </c>
      <c r="BZ116" s="13">
        <f>BY116*VLOOKUP('Données projet'!$B$12,Paramètres!$A$1:$I$89,3,0)*VLOOKUP('Données projet'!$B$12,Paramètres!$A$1:$I$89,5,0)</f>
        <v>258.24239999999986</v>
      </c>
      <c r="CA116" s="13">
        <f t="shared" si="93"/>
        <v>62.347580891234152</v>
      </c>
      <c r="CB116" s="20">
        <f t="shared" si="64"/>
        <v>558.3608833855659</v>
      </c>
      <c r="CC116" s="59">
        <f t="shared" si="65"/>
        <v>851.69421671889927</v>
      </c>
      <c r="CD116" s="59">
        <f ca="1">AVERAGE(OFFSET($CC$3,0,0,'Données projet'!$E$12+1,1))-AVERAGE(OFFSET($H$3,0,0,'Données projet'!$E$12+1,1))</f>
        <v>281.84871057356037</v>
      </c>
      <c r="CE116" s="59">
        <f t="shared" si="94"/>
        <v>276.02211904126887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22.260924997338229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22.260924997338229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319</v>
      </c>
      <c r="CU116" s="17">
        <f>CT116*VLOOKUP('Données projet'!$B$13,Paramètres!$A$1:$I$89,3,0)*VLOOKUP('Données projet'!$B$13,Paramètres!$A$1:$I$89,5,0)</f>
        <v>253.79640000000001</v>
      </c>
      <c r="CV116" s="13">
        <f t="shared" si="95"/>
        <v>61.39816832228076</v>
      </c>
      <c r="CW116" s="20">
        <f t="shared" si="67"/>
        <v>548.96387316130563</v>
      </c>
      <c r="CX116" s="59">
        <f t="shared" si="68"/>
        <v>842.29720649463889</v>
      </c>
      <c r="CY116" s="59">
        <f ca="1">AVERAGE(OFFSET($CX$3,0,0,'Données projet'!$E$13+1,1))-AVERAGE(OFFSET($H$3,0,0,'Données projet'!$E$13+1,1))</f>
        <v>279.49721661620544</v>
      </c>
      <c r="CZ116" s="59">
        <f t="shared" si="96"/>
        <v>275.18739333988754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27.658204504393005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27.658204504393005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3.8</v>
      </c>
      <c r="DO116" s="12">
        <f>IF('Données projet'!$A$166&gt;35,DO115+DN116-DW115,IF(A116&lt;'Données projet'!$A$166,$DL$205^A116,IF(A116='Données projet'!$A$166,'Données projet'!$B$166,DO115+DN116-DW115)))</f>
        <v>277.39999999999998</v>
      </c>
      <c r="DP116" s="17">
        <f>DO116*VLOOKUP('Données projet'!$B$14,Paramètres!$A$1:$I$89,3,0)*VLOOKUP('Données projet'!$B$14,Paramètres!$A$1:$I$89,5,0)</f>
        <v>281.28360000000004</v>
      </c>
      <c r="DQ116" s="13">
        <f t="shared" si="97"/>
        <v>67.238198209347928</v>
      </c>
      <c r="DR116" s="20">
        <f t="shared" si="70"/>
        <v>607.00879854794766</v>
      </c>
      <c r="DS116" s="59">
        <f t="shared" si="71"/>
        <v>900.34213188128092</v>
      </c>
      <c r="DT116" s="59">
        <f ca="1">AVERAGE(OFFSET($DS$3,0,0,'Données projet'!$E$14+1,1))-AVERAGE(OFFSET($H$3,0,0,'Données projet'!$E$14+1,1))</f>
        <v>308.80022073574963</v>
      </c>
      <c r="DU116" s="59">
        <f t="shared" si="98"/>
        <v>183.96267407004115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79.10480263018961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79.10480263018961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266.99999999999983</v>
      </c>
      <c r="EK116" s="17">
        <f>EJ116*VLOOKUP('Données projet'!$B$15,Paramètres!$A$1:$I$89,3,0)*VLOOKUP('Données projet'!$B$15,Paramètres!$A$1:$I$89,5,0)</f>
        <v>174.93839999999989</v>
      </c>
      <c r="EL116" s="13">
        <f t="shared" si="99"/>
        <v>44.194210865203175</v>
      </c>
      <c r="EM116" s="20">
        <f t="shared" si="73"/>
        <v>381.65596392356196</v>
      </c>
      <c r="EN116" s="59">
        <f t="shared" si="74"/>
        <v>674.98929725689527</v>
      </c>
      <c r="EO116" s="59">
        <f ca="1">AVERAGE(OFFSET($EN$3,0,0,'Données projet'!$E$15+1,1))-AVERAGE(OFFSET($H$3,0,0,'Données projet'!$E$15+1,1))</f>
        <v>178.71569711875242</v>
      </c>
      <c r="EP116" s="59">
        <f t="shared" si="100"/>
        <v>178.13848582064168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15.079981449809768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15.079981449809768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3.8</v>
      </c>
      <c r="FE116" s="12">
        <f>IF('Données projet'!$A$218&gt;35,FE115+FD116-FM115,IF(A116&lt;'Données projet'!$A$218,$FB$205^A116,IF(A116='Données projet'!$A$218,'Données projet'!$B$218,FE115+FD116-FM115)))</f>
        <v>277.39999999999998</v>
      </c>
      <c r="FF116" s="17">
        <f>FE116*VLOOKUP('Données projet'!$B$16,Paramètres!$A$1:$I$89,3,0)*VLOOKUP('Données projet'!$B$16,Paramètres!$A$1:$I$89,5,0)</f>
        <v>233.68176</v>
      </c>
      <c r="FG116" s="13">
        <f t="shared" si="101"/>
        <v>57.078026837098335</v>
      </c>
      <c r="FH116" s="20">
        <f t="shared" si="76"/>
        <v>506.40662874127952</v>
      </c>
      <c r="FI116" s="59">
        <f t="shared" si="77"/>
        <v>799.73996207461278</v>
      </c>
      <c r="FJ116" s="59">
        <f ca="1">AVERAGE(OFFSET($FI$3,0,0,'Données projet'!$E$16+1,1))-AVERAGE(OFFSET($H$3,0,0,'Données projet'!$E$16+1,1))</f>
        <v>247.22536892257716</v>
      </c>
      <c r="FK116" s="59">
        <f t="shared" si="102"/>
        <v>147.97952262756075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65.717836031234441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65.717836031234441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6">
        <f t="shared" si="56"/>
        <v>416.45066545702986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249.0000000000002</v>
      </c>
      <c r="O117" s="13">
        <f>N117*VLOOKUP('Données projet'!$B$9,Paramètres!$A$1:$I$89,3,0)*VLOOKUP('Données projet'!$B$9,Paramètres!$A$1:$I$89,5,0)</f>
        <v>217.52640000000019</v>
      </c>
      <c r="P117" s="13">
        <f t="shared" si="87"/>
        <v>53.576907690651304</v>
      </c>
      <c r="Q117" s="20">
        <f t="shared" si="107"/>
        <v>472.17159422788467</v>
      </c>
      <c r="R117" s="59">
        <f t="shared" si="55"/>
        <v>765.50492756121798</v>
      </c>
      <c r="S117" s="59">
        <f ca="1">AVERAGE(OFFSET($R$3,0,0,'Données projet'!$E$9+1,1))-AVERAGE(OFFSET($H$3,0,0,'Données projet'!$E$9+1,1))</f>
        <v>253.73326067725128</v>
      </c>
      <c r="T117" s="59">
        <f t="shared" si="88"/>
        <v>317.76427047458026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26.127610671591878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26.127610671591878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732.99999999999966</v>
      </c>
      <c r="AJ117" s="13">
        <f>AI117*VLOOKUP('Données projet'!$B$10,Paramètres!$A$1:$I$89,3,0)*VLOOKUP('Données projet'!$B$10,Paramètres!$A$1:$I$89,5,0)</f>
        <v>352.57299999999987</v>
      </c>
      <c r="AK117" s="13">
        <f t="shared" si="89"/>
        <v>82.092092597941644</v>
      </c>
      <c r="AL117" s="20">
        <f t="shared" si="58"/>
        <v>757.04170294141477</v>
      </c>
      <c r="AM117" s="59">
        <f t="shared" si="59"/>
        <v>1050.375036274748</v>
      </c>
      <c r="AN117" s="59">
        <f ca="1">AVERAGE(OFFSET($AM$3,0,0,'Données projet'!$E$10+1,1))-AVERAGE(OFFSET($H$3,0,0,'Données projet'!$E$10+1,1))</f>
        <v>349.65790906807746</v>
      </c>
      <c r="AO117" s="59">
        <f t="shared" si="90"/>
        <v>291.88925884278888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64.519594401189238</v>
      </c>
      <c r="AV117" s="21">
        <f>EXP(-LN(2)/25)*AV116+(1-EXP(-LN(2)/25))/(LN(2)/25)*Calculateur!AQ117*Calculateur!AS117*VLOOKUP('Données projet'!$B$10,Paramètres!$A$1:$I$89,3,0)*0.475*44/12</f>
        <v>4.0121021367377008</v>
      </c>
      <c r="AW117" s="21">
        <f>EXP(-LN(2)/2)*AW116+(1-EXP(-LN(2)/2))/(LN(2)/2)*AQ117*AT117*VLOOKUP('Données projet'!$B$10,Paramètres!$A$1:$I$89,3,0)*0.475*44/12</f>
        <v>1.160892683551176E-14</v>
      </c>
      <c r="AX117" s="21">
        <f t="shared" si="60"/>
        <v>68.531696537926948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319</v>
      </c>
      <c r="BE117" s="13">
        <f>BD117*VLOOKUP('Données projet'!$B$11,Paramètres!$A$1:$I$89,3,0)*VLOOKUP('Données projet'!$B$11,Paramètres!$A$1:$I$89,5,0)</f>
        <v>253.79640000000001</v>
      </c>
      <c r="BF117" s="13">
        <f t="shared" si="91"/>
        <v>61.39816832228076</v>
      </c>
      <c r="BG117" s="20">
        <f t="shared" si="61"/>
        <v>548.96387316130563</v>
      </c>
      <c r="BH117" s="59">
        <f t="shared" si="62"/>
        <v>842.29720649463889</v>
      </c>
      <c r="BI117" s="59">
        <f ca="1">AVERAGE(OFFSET($BH$3,0,0,'Données projet'!$E$11+1,1))-AVERAGE(OFFSET($H$3,0,0,'Données projet'!$E$11+1,1))</f>
        <v>279.49721661620544</v>
      </c>
      <c r="BJ117" s="59">
        <f t="shared" si="92"/>
        <v>275.18739333988754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27.115843983900849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27.115843983900849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266.99999999999983</v>
      </c>
      <c r="BZ117" s="13">
        <f>BY117*VLOOKUP('Données projet'!$B$12,Paramètres!$A$1:$I$89,3,0)*VLOOKUP('Données projet'!$B$12,Paramètres!$A$1:$I$89,5,0)</f>
        <v>258.24239999999986</v>
      </c>
      <c r="CA117" s="13">
        <f t="shared" si="93"/>
        <v>62.347580891234152</v>
      </c>
      <c r="CB117" s="20">
        <f t="shared" si="64"/>
        <v>558.3608833855659</v>
      </c>
      <c r="CC117" s="59">
        <f t="shared" si="65"/>
        <v>851.69421671889927</v>
      </c>
      <c r="CD117" s="59">
        <f ca="1">AVERAGE(OFFSET($CC$3,0,0,'Données projet'!$E$12+1,1))-AVERAGE(OFFSET($H$3,0,0,'Données projet'!$E$12+1,1))</f>
        <v>281.84871057356037</v>
      </c>
      <c r="CE117" s="59">
        <f t="shared" si="94"/>
        <v>276.02211904126887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21.824401835963975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21.824401835963975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319</v>
      </c>
      <c r="CU117" s="17">
        <f>CT117*VLOOKUP('Données projet'!$B$13,Paramètres!$A$1:$I$89,3,0)*VLOOKUP('Données projet'!$B$13,Paramètres!$A$1:$I$89,5,0)</f>
        <v>253.79640000000001</v>
      </c>
      <c r="CV117" s="13">
        <f t="shared" si="95"/>
        <v>61.39816832228076</v>
      </c>
      <c r="CW117" s="20">
        <f t="shared" si="67"/>
        <v>548.96387316130563</v>
      </c>
      <c r="CX117" s="59">
        <f t="shared" si="68"/>
        <v>842.29720649463889</v>
      </c>
      <c r="CY117" s="59">
        <f ca="1">AVERAGE(OFFSET($CX$3,0,0,'Données projet'!$E$13+1,1))-AVERAGE(OFFSET($H$3,0,0,'Données projet'!$E$13+1,1))</f>
        <v>279.49721661620544</v>
      </c>
      <c r="CZ117" s="59">
        <f t="shared" si="96"/>
        <v>275.18739333988754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27.115843983900849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27.115843983900849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3.8</v>
      </c>
      <c r="DO117" s="12">
        <f>IF('Données projet'!$A$166&gt;35,DO116+DN117-DW116,IF(A117&lt;'Données projet'!$A$166,$DL$205^A117,IF(A117='Données projet'!$A$166,'Données projet'!$B$166,DO116+DN117-DW116)))</f>
        <v>281.2</v>
      </c>
      <c r="DP117" s="17">
        <f>DO117*VLOOKUP('Données projet'!$B$14,Paramètres!$A$1:$I$89,3,0)*VLOOKUP('Données projet'!$B$14,Paramètres!$A$1:$I$89,5,0)</f>
        <v>285.13679999999999</v>
      </c>
      <c r="DQ117" s="13">
        <f t="shared" si="97"/>
        <v>68.051411155895636</v>
      </c>
      <c r="DR117" s="20">
        <f t="shared" si="70"/>
        <v>615.1361344298515</v>
      </c>
      <c r="DS117" s="59">
        <f t="shared" si="71"/>
        <v>908.46946776318487</v>
      </c>
      <c r="DT117" s="59">
        <f ca="1">AVERAGE(OFFSET($DS$3,0,0,'Données projet'!$E$14+1,1))-AVERAGE(OFFSET($H$3,0,0,'Données projet'!$E$14+1,1))</f>
        <v>308.80022073574963</v>
      </c>
      <c r="DU117" s="59">
        <f t="shared" si="98"/>
        <v>183.96267407004115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77.55360569977698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77.55360569977698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266.99999999999983</v>
      </c>
      <c r="EK117" s="17">
        <f>EJ117*VLOOKUP('Données projet'!$B$15,Paramètres!$A$1:$I$89,3,0)*VLOOKUP('Données projet'!$B$15,Paramètres!$A$1:$I$89,5,0)</f>
        <v>174.93839999999989</v>
      </c>
      <c r="EL117" s="13">
        <f t="shared" si="99"/>
        <v>44.194210865203175</v>
      </c>
      <c r="EM117" s="20">
        <f t="shared" si="73"/>
        <v>381.65596392356196</v>
      </c>
      <c r="EN117" s="59">
        <f t="shared" si="74"/>
        <v>674.98929725689527</v>
      </c>
      <c r="EO117" s="59">
        <f ca="1">AVERAGE(OFFSET($EN$3,0,0,'Données projet'!$E$15+1,1))-AVERAGE(OFFSET($H$3,0,0,'Données projet'!$E$15+1,1))</f>
        <v>178.71569711875242</v>
      </c>
      <c r="EP117" s="59">
        <f t="shared" si="100"/>
        <v>178.13848582064168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14.784272211459468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14.784272211459468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3.8</v>
      </c>
      <c r="FE117" s="12">
        <f>IF('Données projet'!$A$218&gt;35,FE116+FD117-FM116,IF(A117&lt;'Données projet'!$A$218,$FB$205^A117,IF(A117='Données projet'!$A$218,'Données projet'!$B$218,FE116+FD117-FM116)))</f>
        <v>281.2</v>
      </c>
      <c r="FF117" s="17">
        <f>FE117*VLOOKUP('Données projet'!$B$16,Paramètres!$A$1:$I$89,3,0)*VLOOKUP('Données projet'!$B$16,Paramètres!$A$1:$I$89,5,0)</f>
        <v>236.88288000000003</v>
      </c>
      <c r="FG117" s="13">
        <f t="shared" si="101"/>
        <v>57.768357506620532</v>
      </c>
      <c r="FH117" s="20">
        <f t="shared" si="76"/>
        <v>513.18423865736406</v>
      </c>
      <c r="FI117" s="59">
        <f t="shared" si="77"/>
        <v>806.51757199069743</v>
      </c>
      <c r="FJ117" s="59">
        <f ca="1">AVERAGE(OFFSET($FI$3,0,0,'Données projet'!$E$16+1,1))-AVERAGE(OFFSET($H$3,0,0,'Données projet'!$E$16+1,1))</f>
        <v>247.22536892257716</v>
      </c>
      <c r="FK117" s="59">
        <f t="shared" si="102"/>
        <v>147.97952262756075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64.429149350583955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64.429149350583955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6">
        <f t="shared" si="56"/>
        <v>417.5023369912704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249.0000000000002</v>
      </c>
      <c r="O118" s="13">
        <f>N118*VLOOKUP('Données projet'!$B$9,Paramètres!$A$1:$I$89,3,0)*VLOOKUP('Données projet'!$B$9,Paramètres!$A$1:$I$89,5,0)</f>
        <v>217.52640000000019</v>
      </c>
      <c r="P118" s="13">
        <f t="shared" si="87"/>
        <v>53.576907690651304</v>
      </c>
      <c r="Q118" s="20">
        <f t="shared" si="107"/>
        <v>472.17159422788467</v>
      </c>
      <c r="R118" s="59">
        <f t="shared" si="55"/>
        <v>765.50492756121798</v>
      </c>
      <c r="S118" s="59">
        <f ca="1">AVERAGE(OFFSET($R$3,0,0,'Données projet'!$E$9+1,1))-AVERAGE(OFFSET($H$3,0,0,'Données projet'!$E$9+1,1))</f>
        <v>253.73326067725128</v>
      </c>
      <c r="T118" s="59">
        <f t="shared" si="88"/>
        <v>317.76427047458026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25.615264162590893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25.615264162590893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732.99999999999966</v>
      </c>
      <c r="AJ118" s="13">
        <f>AI118*VLOOKUP('Données projet'!$B$10,Paramètres!$A$1:$I$89,3,0)*VLOOKUP('Données projet'!$B$10,Paramètres!$A$1:$I$89,5,0)</f>
        <v>352.57299999999987</v>
      </c>
      <c r="AK118" s="13">
        <f t="shared" si="89"/>
        <v>82.092092597941644</v>
      </c>
      <c r="AL118" s="20">
        <f t="shared" si="58"/>
        <v>757.04170294141477</v>
      </c>
      <c r="AM118" s="59">
        <f t="shared" si="59"/>
        <v>1050.375036274748</v>
      </c>
      <c r="AN118" s="59">
        <f ca="1">AVERAGE(OFFSET($AM$3,0,0,'Données projet'!$E$10+1,1))-AVERAGE(OFFSET($H$3,0,0,'Données projet'!$E$10+1,1))</f>
        <v>349.65790906807746</v>
      </c>
      <c r="AO118" s="59">
        <f t="shared" si="90"/>
        <v>291.88925884278888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63.254404508048708</v>
      </c>
      <c r="AV118" s="21">
        <f>EXP(-LN(2)/25)*AV117+(1-EXP(-LN(2)/25))/(LN(2)/25)*Calculateur!AQ118*Calculateur!AS118*VLOOKUP('Données projet'!$B$10,Paramètres!$A$1:$I$89,3,0)*0.475*44/12</f>
        <v>3.902390992821327</v>
      </c>
      <c r="AW118" s="21">
        <f>EXP(-LN(2)/2)*AW117+(1-EXP(-LN(2)/2))/(LN(2)/2)*AQ118*AT118*VLOOKUP('Données projet'!$B$10,Paramètres!$A$1:$I$89,3,0)*0.475*44/12</f>
        <v>8.2087508876888535E-15</v>
      </c>
      <c r="AX118" s="21">
        <f t="shared" si="60"/>
        <v>67.156795500870047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319</v>
      </c>
      <c r="BE118" s="13">
        <f>BD118*VLOOKUP('Données projet'!$B$11,Paramètres!$A$1:$I$89,3,0)*VLOOKUP('Données projet'!$B$11,Paramètres!$A$1:$I$89,5,0)</f>
        <v>253.79640000000001</v>
      </c>
      <c r="BF118" s="13">
        <f t="shared" si="91"/>
        <v>61.39816832228076</v>
      </c>
      <c r="BG118" s="20">
        <f t="shared" si="61"/>
        <v>548.96387316130563</v>
      </c>
      <c r="BH118" s="59">
        <f t="shared" si="62"/>
        <v>842.29720649463889</v>
      </c>
      <c r="BI118" s="59">
        <f ca="1">AVERAGE(OFFSET($BH$3,0,0,'Données projet'!$E$11+1,1))-AVERAGE(OFFSET($H$3,0,0,'Données projet'!$E$11+1,1))</f>
        <v>279.49721661620544</v>
      </c>
      <c r="BJ118" s="59">
        <f t="shared" si="92"/>
        <v>275.18739333988754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26.584118822408289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26.584118822408289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266.99999999999983</v>
      </c>
      <c r="BZ118" s="13">
        <f>BY118*VLOOKUP('Données projet'!$B$12,Paramètres!$A$1:$I$89,3,0)*VLOOKUP('Données projet'!$B$12,Paramètres!$A$1:$I$89,5,0)</f>
        <v>258.24239999999986</v>
      </c>
      <c r="CA118" s="13">
        <f t="shared" si="93"/>
        <v>62.347580891234152</v>
      </c>
      <c r="CB118" s="20">
        <f t="shared" si="64"/>
        <v>558.3608833855659</v>
      </c>
      <c r="CC118" s="59">
        <f t="shared" si="65"/>
        <v>851.69421671889927</v>
      </c>
      <c r="CD118" s="59">
        <f ca="1">AVERAGE(OFFSET($CC$3,0,0,'Données projet'!$E$12+1,1))-AVERAGE(OFFSET($H$3,0,0,'Données projet'!$E$12+1,1))</f>
        <v>281.84871057356037</v>
      </c>
      <c r="CE118" s="59">
        <f t="shared" si="94"/>
        <v>276.02211904126887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21.396438627531435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21.396438627531435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319</v>
      </c>
      <c r="CU118" s="17">
        <f>CT118*VLOOKUP('Données projet'!$B$13,Paramètres!$A$1:$I$89,3,0)*VLOOKUP('Données projet'!$B$13,Paramètres!$A$1:$I$89,5,0)</f>
        <v>253.79640000000001</v>
      </c>
      <c r="CV118" s="13">
        <f t="shared" si="95"/>
        <v>61.39816832228076</v>
      </c>
      <c r="CW118" s="20">
        <f t="shared" si="67"/>
        <v>548.96387316130563</v>
      </c>
      <c r="CX118" s="59">
        <f t="shared" si="68"/>
        <v>842.29720649463889</v>
      </c>
      <c r="CY118" s="59">
        <f ca="1">AVERAGE(OFFSET($CX$3,0,0,'Données projet'!$E$13+1,1))-AVERAGE(OFFSET($H$3,0,0,'Données projet'!$E$13+1,1))</f>
        <v>279.49721661620544</v>
      </c>
      <c r="CZ118" s="59">
        <f t="shared" si="96"/>
        <v>275.18739333988754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26.584118822408289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26.584118822408289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>
        <f>VLOOKUP(A118,'Données projet'!$A$165:$I$185,2,0)</f>
        <v>285</v>
      </c>
      <c r="DM118" s="12">
        <f>VLOOKUP(A118,'Données projet'!$A$165:$I$185,9,0)</f>
        <v>3.8</v>
      </c>
      <c r="DN118" s="12">
        <f t="array" ref="DN118">INDEX(DM:DM,MIN(IF(ISNUMBER(DM118:DM314),ROW(DM118:DM314),"")))</f>
        <v>3.8</v>
      </c>
      <c r="DO118" s="12">
        <f>IF('Données projet'!$A$166&gt;35,DO117+DN118-DW117,IF(A118&lt;'Données projet'!$A$166,$DL$205^A118,IF(A118='Données projet'!$A$166,'Données projet'!$B$166,DO117+DN118-DW117)))</f>
        <v>285</v>
      </c>
      <c r="DP118" s="17">
        <f>DO118*VLOOKUP('Données projet'!$B$14,Paramètres!$A$1:$I$89,3,0)*VLOOKUP('Données projet'!$B$14,Paramètres!$A$1:$I$89,5,0)</f>
        <v>288.99</v>
      </c>
      <c r="DQ118" s="13">
        <f t="shared" si="97"/>
        <v>68.863345904836791</v>
      </c>
      <c r="DR118" s="20">
        <f t="shared" si="70"/>
        <v>623.26124411759076</v>
      </c>
      <c r="DS118" s="59">
        <f t="shared" si="71"/>
        <v>916.59457745092413</v>
      </c>
      <c r="DT118" s="59">
        <f ca="1">AVERAGE(OFFSET($DS$3,0,0,'Données projet'!$E$14+1,1))-AVERAGE(OFFSET($H$3,0,0,'Données projet'!$E$14+1,1))</f>
        <v>308.80022073574963</v>
      </c>
      <c r="DU118" s="59">
        <f t="shared" si="98"/>
        <v>183.96267407004115</v>
      </c>
      <c r="DV118" s="15">
        <f>IF(ISNA(VLOOKUP(A118,'Données projet'!$A$165:$I$185,3,0)),0,VLOOKUP(A118,'Données projet'!$A$165:$I$185,3,0))</f>
        <v>19</v>
      </c>
      <c r="DW118" s="15">
        <f>IF(ISNA(VLOOKUP(A118,'Données projet'!$A$165:$I$185,4,0)),0,VLOOKUP(A118,'Données projet'!$A$165:$I$185,4,0))</f>
        <v>18</v>
      </c>
      <c r="DX118" s="16">
        <f>IF(ISNA(VLOOKUP(A118,'Données projet'!$A$165:$I$185,5,0)),0%,VLOOKUP(A118,'Données projet'!$A$165:$I$185,5,0)*VLOOKUP('Données projet'!$B$14,Paramètres!$A$1:$I$89,7,0))</f>
        <v>0.43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84.708956302944273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84.708956302944273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266.99999999999983</v>
      </c>
      <c r="EK118" s="17">
        <f>EJ118*VLOOKUP('Données projet'!$B$15,Paramètres!$A$1:$I$89,3,0)*VLOOKUP('Données projet'!$B$15,Paramètres!$A$1:$I$89,5,0)</f>
        <v>174.93839999999989</v>
      </c>
      <c r="EL118" s="13">
        <f t="shared" si="99"/>
        <v>44.194210865203175</v>
      </c>
      <c r="EM118" s="20">
        <f t="shared" si="73"/>
        <v>381.65596392356196</v>
      </c>
      <c r="EN118" s="59">
        <f t="shared" si="74"/>
        <v>674.98929725689527</v>
      </c>
      <c r="EO118" s="59">
        <f ca="1">AVERAGE(OFFSET($EN$3,0,0,'Données projet'!$E$15+1,1))-AVERAGE(OFFSET($H$3,0,0,'Données projet'!$E$15+1,1))</f>
        <v>178.71569711875242</v>
      </c>
      <c r="EP118" s="59">
        <f t="shared" si="100"/>
        <v>178.13848582064168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14.494361650908392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14.494361650908392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>
        <f>VLOOKUP(A118,'Données projet'!$A$217:$I$237,2,0)</f>
        <v>285</v>
      </c>
      <c r="FC118" s="12">
        <f>VLOOKUP(A118,'Données projet'!$A$217:$I$237,9,0)</f>
        <v>3.8</v>
      </c>
      <c r="FD118" s="12">
        <f t="array" ref="FD118">INDEX(FC:FC,MIN(IF(ISNUMBER(FC118:FC314),ROW(FC118:FC314),"")))</f>
        <v>3.8</v>
      </c>
      <c r="FE118" s="12">
        <f>IF('Données projet'!$A$218&gt;35,FE117+FD118-FM117,IF(A118&lt;'Données projet'!$A$218,$FB$205^A118,IF(A118='Données projet'!$A$218,'Données projet'!$B$218,FE117+FD118-FM117)))</f>
        <v>285</v>
      </c>
      <c r="FF118" s="17">
        <f>FE118*VLOOKUP('Données projet'!$B$16,Paramètres!$A$1:$I$89,3,0)*VLOOKUP('Données projet'!$B$16,Paramètres!$A$1:$I$89,5,0)</f>
        <v>240.084</v>
      </c>
      <c r="FG118" s="13">
        <f t="shared" si="101"/>
        <v>58.457603123312211</v>
      </c>
      <c r="FH118" s="20">
        <f t="shared" si="76"/>
        <v>519.95995877310202</v>
      </c>
      <c r="FI118" s="59">
        <f t="shared" si="77"/>
        <v>813.29329210643527</v>
      </c>
      <c r="FJ118" s="59">
        <f ca="1">AVERAGE(OFFSET($FI$3,0,0,'Données projet'!$E$16+1,1))-AVERAGE(OFFSET($H$3,0,0,'Données projet'!$E$16+1,1))</f>
        <v>247.22536892257716</v>
      </c>
      <c r="FK118" s="59">
        <f t="shared" si="102"/>
        <v>147.97952262756075</v>
      </c>
      <c r="FL118" s="15">
        <f>IF(ISNA(VLOOKUP(A118,'Données projet'!$A$217:$I$237,3,0)),0,VLOOKUP(A118,'Données projet'!$A$217:$I$237,3,0))</f>
        <v>19</v>
      </c>
      <c r="FM118" s="15">
        <f>IF(ISNA(VLOOKUP(A118,'Données projet'!$A$217:$I$237,4,0)),0,VLOOKUP(A118,'Données projet'!$A$217:$I$237,4,0))</f>
        <v>18</v>
      </c>
      <c r="FN118" s="16">
        <f>IF(ISNA(VLOOKUP(A118,'Données projet'!$A$217:$I$237,5,0)),0%,VLOOKUP(A118,'Données projet'!$A$217:$I$237,5,0)*VLOOKUP('Données projet'!$B$16,Paramètres!$A$1:$I$89,7,0))</f>
        <v>0.43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70.373594467061395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70.373594467061395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6">
        <f t="shared" si="56"/>
        <v>418.55379209794313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249.0000000000002</v>
      </c>
      <c r="O119" s="13">
        <f>N119*VLOOKUP('Données projet'!$B$9,Paramètres!$A$1:$I$89,3,0)*VLOOKUP('Données projet'!$B$9,Paramètres!$A$1:$I$89,5,0)</f>
        <v>217.52640000000019</v>
      </c>
      <c r="P119" s="13">
        <f t="shared" si="87"/>
        <v>53.576907690651304</v>
      </c>
      <c r="Q119" s="20">
        <f t="shared" si="107"/>
        <v>472.17159422788467</v>
      </c>
      <c r="R119" s="59">
        <f t="shared" si="55"/>
        <v>765.50492756121798</v>
      </c>
      <c r="S119" s="59">
        <f ca="1">AVERAGE(OFFSET($R$3,0,0,'Données projet'!$E$9+1,1))-AVERAGE(OFFSET($H$3,0,0,'Données projet'!$E$9+1,1))</f>
        <v>253.73326067725128</v>
      </c>
      <c r="T119" s="59">
        <f t="shared" si="88"/>
        <v>317.76427047458026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25.112964456130907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25.112964456130907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732.99999999999966</v>
      </c>
      <c r="AJ119" s="13">
        <f>AI119*VLOOKUP('Données projet'!$B$10,Paramètres!$A$1:$I$89,3,0)*VLOOKUP('Données projet'!$B$10,Paramètres!$A$1:$I$89,5,0)</f>
        <v>352.57299999999987</v>
      </c>
      <c r="AK119" s="13">
        <f t="shared" si="89"/>
        <v>82.092092597941644</v>
      </c>
      <c r="AL119" s="20">
        <f t="shared" si="58"/>
        <v>757.04170294141477</v>
      </c>
      <c r="AM119" s="59">
        <f t="shared" si="59"/>
        <v>1050.375036274748</v>
      </c>
      <c r="AN119" s="59">
        <f ca="1">AVERAGE(OFFSET($AM$3,0,0,'Données projet'!$E$10+1,1))-AVERAGE(OFFSET($H$3,0,0,'Données projet'!$E$10+1,1))</f>
        <v>349.65790906807746</v>
      </c>
      <c r="AO119" s="59">
        <f t="shared" si="90"/>
        <v>291.88925884278888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62.014024217023028</v>
      </c>
      <c r="AV119" s="21">
        <f>EXP(-LN(2)/25)*AV118+(1-EXP(-LN(2)/25))/(LN(2)/25)*Calculateur!AQ119*Calculateur!AS119*VLOOKUP('Données projet'!$B$10,Paramètres!$A$1:$I$89,3,0)*0.475*44/12</f>
        <v>3.7956799059048043</v>
      </c>
      <c r="AW119" s="21">
        <f>EXP(-LN(2)/2)*AW118+(1-EXP(-LN(2)/2))/(LN(2)/2)*AQ119*AT119*VLOOKUP('Données projet'!$B$10,Paramètres!$A$1:$I$89,3,0)*0.475*44/12</f>
        <v>5.8044634177558799E-15</v>
      </c>
      <c r="AX119" s="21">
        <f t="shared" si="60"/>
        <v>65.809704122927826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319</v>
      </c>
      <c r="BE119" s="13">
        <f>BD119*VLOOKUP('Données projet'!$B$11,Paramètres!$A$1:$I$89,3,0)*VLOOKUP('Données projet'!$B$11,Paramètres!$A$1:$I$89,5,0)</f>
        <v>253.79640000000001</v>
      </c>
      <c r="BF119" s="13">
        <f t="shared" si="91"/>
        <v>61.39816832228076</v>
      </c>
      <c r="BG119" s="20">
        <f t="shared" si="61"/>
        <v>548.96387316130563</v>
      </c>
      <c r="BH119" s="59">
        <f t="shared" si="62"/>
        <v>842.29720649463889</v>
      </c>
      <c r="BI119" s="59">
        <f ca="1">AVERAGE(OFFSET($BH$3,0,0,'Données projet'!$E$11+1,1))-AVERAGE(OFFSET($H$3,0,0,'Données projet'!$E$11+1,1))</f>
        <v>279.49721661620544</v>
      </c>
      <c r="BJ119" s="59">
        <f t="shared" si="92"/>
        <v>275.18739333988754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26.062820467012276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26.062820467012276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266.99999999999983</v>
      </c>
      <c r="BZ119" s="13">
        <f>BY119*VLOOKUP('Données projet'!$B$12,Paramètres!$A$1:$I$89,3,0)*VLOOKUP('Données projet'!$B$12,Paramètres!$A$1:$I$89,5,0)</f>
        <v>258.24239999999986</v>
      </c>
      <c r="CA119" s="13">
        <f t="shared" si="93"/>
        <v>62.347580891234152</v>
      </c>
      <c r="CB119" s="20">
        <f t="shared" si="64"/>
        <v>558.3608833855659</v>
      </c>
      <c r="CC119" s="59">
        <f t="shared" si="65"/>
        <v>851.69421671889927</v>
      </c>
      <c r="CD119" s="59">
        <f ca="1">AVERAGE(OFFSET($CC$3,0,0,'Données projet'!$E$12+1,1))-AVERAGE(OFFSET($H$3,0,0,'Données projet'!$E$12+1,1))</f>
        <v>281.84871057356037</v>
      </c>
      <c r="CE119" s="59">
        <f t="shared" si="94"/>
        <v>276.02211904126887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20.976867516584473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20.976867516584473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319</v>
      </c>
      <c r="CU119" s="17">
        <f>CT119*VLOOKUP('Données projet'!$B$13,Paramètres!$A$1:$I$89,3,0)*VLOOKUP('Données projet'!$B$13,Paramètres!$A$1:$I$89,5,0)</f>
        <v>253.79640000000001</v>
      </c>
      <c r="CV119" s="13">
        <f t="shared" si="95"/>
        <v>61.39816832228076</v>
      </c>
      <c r="CW119" s="20">
        <f t="shared" si="67"/>
        <v>548.96387316130563</v>
      </c>
      <c r="CX119" s="59">
        <f t="shared" si="68"/>
        <v>842.29720649463889</v>
      </c>
      <c r="CY119" s="59">
        <f ca="1">AVERAGE(OFFSET($CX$3,0,0,'Données projet'!$E$13+1,1))-AVERAGE(OFFSET($H$3,0,0,'Données projet'!$E$13+1,1))</f>
        <v>279.49721661620544</v>
      </c>
      <c r="CZ119" s="59">
        <f t="shared" si="96"/>
        <v>275.18739333988754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26.062820467012276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26.062820467012276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267</v>
      </c>
      <c r="DP119" s="17">
        <f>DO119*VLOOKUP('Données projet'!$B$14,Paramètres!$A$1:$I$89,3,0)*VLOOKUP('Données projet'!$B$14,Paramètres!$A$1:$I$89,5,0)</f>
        <v>270.738</v>
      </c>
      <c r="DQ119" s="13">
        <f t="shared" si="97"/>
        <v>65.005866623551711</v>
      </c>
      <c r="DR119" s="20">
        <f t="shared" si="70"/>
        <v>584.7539010360191</v>
      </c>
      <c r="DS119" s="59">
        <f t="shared" si="71"/>
        <v>878.08723436935247</v>
      </c>
      <c r="DT119" s="59">
        <f ca="1">AVERAGE(OFFSET($DS$3,0,0,'Données projet'!$E$14+1,1))-AVERAGE(OFFSET($H$3,0,0,'Données projet'!$E$14+1,1))</f>
        <v>308.80022073574963</v>
      </c>
      <c r="DU119" s="59">
        <f t="shared" si="98"/>
        <v>183.96267407004115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83.047865337205153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83.047865337205153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266.99999999999983</v>
      </c>
      <c r="EK119" s="17">
        <f>EJ119*VLOOKUP('Données projet'!$B$15,Paramètres!$A$1:$I$89,3,0)*VLOOKUP('Données projet'!$B$15,Paramètres!$A$1:$I$89,5,0)</f>
        <v>174.93839999999989</v>
      </c>
      <c r="EL119" s="13">
        <f t="shared" si="99"/>
        <v>44.194210865203175</v>
      </c>
      <c r="EM119" s="20">
        <f t="shared" si="73"/>
        <v>381.65596392356196</v>
      </c>
      <c r="EN119" s="59">
        <f t="shared" si="74"/>
        <v>674.98929725689527</v>
      </c>
      <c r="EO119" s="59">
        <f ca="1">AVERAGE(OFFSET($EN$3,0,0,'Données projet'!$E$15+1,1))-AVERAGE(OFFSET($H$3,0,0,'Données projet'!$E$15+1,1))</f>
        <v>178.71569711875242</v>
      </c>
      <c r="EP119" s="59">
        <f t="shared" si="100"/>
        <v>178.13848582064168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14.210136059621739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14.210136059621739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267</v>
      </c>
      <c r="FF119" s="17">
        <f>FE119*VLOOKUP('Données projet'!$B$16,Paramètres!$A$1:$I$89,3,0)*VLOOKUP('Données projet'!$B$16,Paramètres!$A$1:$I$89,5,0)</f>
        <v>224.92080000000001</v>
      </c>
      <c r="FG119" s="13">
        <f t="shared" si="101"/>
        <v>55.1830164775604</v>
      </c>
      <c r="FH119" s="20">
        <f t="shared" si="76"/>
        <v>487.84748036508444</v>
      </c>
      <c r="FI119" s="59">
        <f t="shared" si="77"/>
        <v>781.18081369841775</v>
      </c>
      <c r="FJ119" s="59">
        <f ca="1">AVERAGE(OFFSET($FI$3,0,0,'Données projet'!$E$16+1,1))-AVERAGE(OFFSET($H$3,0,0,'Données projet'!$E$16+1,1))</f>
        <v>247.22536892257716</v>
      </c>
      <c r="FK119" s="59">
        <f t="shared" si="102"/>
        <v>147.97952262756075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68.993611203216588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68.993611203216588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6">
        <f t="shared" si="56"/>
        <v>419.60503285898386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249.0000000000002</v>
      </c>
      <c r="O120" s="13">
        <f>N120*VLOOKUP('Données projet'!$B$9,Paramètres!$A$1:$I$89,3,0)*VLOOKUP('Données projet'!$B$9,Paramètres!$A$1:$I$89,5,0)</f>
        <v>217.52640000000019</v>
      </c>
      <c r="P120" s="13">
        <f t="shared" si="87"/>
        <v>53.576907690651304</v>
      </c>
      <c r="Q120" s="20">
        <f t="shared" si="107"/>
        <v>472.17159422788467</v>
      </c>
      <c r="R120" s="59">
        <f t="shared" si="55"/>
        <v>765.50492756121798</v>
      </c>
      <c r="S120" s="59">
        <f ca="1">AVERAGE(OFFSET($R$3,0,0,'Données projet'!$E$9+1,1))-AVERAGE(OFFSET($H$3,0,0,'Données projet'!$E$9+1,1))</f>
        <v>253.73326067725128</v>
      </c>
      <c r="T120" s="59">
        <f t="shared" si="88"/>
        <v>317.76427047458026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24.620514540542032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24.620514540542032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732.99999999999966</v>
      </c>
      <c r="AJ120" s="13">
        <f>AI120*VLOOKUP('Données projet'!$B$10,Paramètres!$A$1:$I$89,3,0)*VLOOKUP('Données projet'!$B$10,Paramètres!$A$1:$I$89,5,0)</f>
        <v>352.57299999999987</v>
      </c>
      <c r="AK120" s="13">
        <f t="shared" si="89"/>
        <v>82.092092597941644</v>
      </c>
      <c r="AL120" s="20">
        <f t="shared" si="58"/>
        <v>757.04170294141477</v>
      </c>
      <c r="AM120" s="59">
        <f t="shared" si="59"/>
        <v>1050.375036274748</v>
      </c>
      <c r="AN120" s="59">
        <f ca="1">AVERAGE(OFFSET($AM$3,0,0,'Données projet'!$E$10+1,1))-AVERAGE(OFFSET($H$3,0,0,'Données projet'!$E$10+1,1))</f>
        <v>349.65790906807746</v>
      </c>
      <c r="AO120" s="59">
        <f t="shared" si="90"/>
        <v>291.88925884278888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60.797967026947092</v>
      </c>
      <c r="AV120" s="21">
        <f>EXP(-LN(2)/25)*AV119+(1-EXP(-LN(2)/25))/(LN(2)/25)*Calculateur!AQ120*Calculateur!AS120*VLOOKUP('Données projet'!$B$10,Paramètres!$A$1:$I$89,3,0)*0.475*44/12</f>
        <v>3.6918868392717061</v>
      </c>
      <c r="AW120" s="21">
        <f>EXP(-LN(2)/2)*AW119+(1-EXP(-LN(2)/2))/(LN(2)/2)*AQ120*AT120*VLOOKUP('Données projet'!$B$10,Paramètres!$A$1:$I$89,3,0)*0.475*44/12</f>
        <v>4.1043754438444267E-15</v>
      </c>
      <c r="AX120" s="21">
        <f t="shared" si="60"/>
        <v>64.489853866218795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319</v>
      </c>
      <c r="BE120" s="13">
        <f>BD120*VLOOKUP('Données projet'!$B$11,Paramètres!$A$1:$I$89,3,0)*VLOOKUP('Données projet'!$B$11,Paramètres!$A$1:$I$89,5,0)</f>
        <v>253.79640000000001</v>
      </c>
      <c r="BF120" s="13">
        <f t="shared" si="91"/>
        <v>61.39816832228076</v>
      </c>
      <c r="BG120" s="20">
        <f t="shared" si="61"/>
        <v>548.96387316130563</v>
      </c>
      <c r="BH120" s="59">
        <f t="shared" si="62"/>
        <v>842.29720649463889</v>
      </c>
      <c r="BI120" s="59">
        <f ca="1">AVERAGE(OFFSET($BH$3,0,0,'Données projet'!$E$11+1,1))-AVERAGE(OFFSET($H$3,0,0,'Données projet'!$E$11+1,1))</f>
        <v>279.49721661620544</v>
      </c>
      <c r="BJ120" s="59">
        <f t="shared" si="92"/>
        <v>275.18739333988754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25.551744454404975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25.551744454404975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266.99999999999983</v>
      </c>
      <c r="BZ120" s="13">
        <f>BY120*VLOOKUP('Données projet'!$B$12,Paramètres!$A$1:$I$89,3,0)*VLOOKUP('Données projet'!$B$12,Paramètres!$A$1:$I$89,5,0)</f>
        <v>258.24239999999986</v>
      </c>
      <c r="CA120" s="13">
        <f t="shared" si="93"/>
        <v>62.347580891234152</v>
      </c>
      <c r="CB120" s="20">
        <f t="shared" si="64"/>
        <v>558.3608833855659</v>
      </c>
      <c r="CC120" s="59">
        <f t="shared" si="65"/>
        <v>851.69421671889927</v>
      </c>
      <c r="CD120" s="59">
        <f ca="1">AVERAGE(OFFSET($CC$3,0,0,'Données projet'!$E$12+1,1))-AVERAGE(OFFSET($H$3,0,0,'Données projet'!$E$12+1,1))</f>
        <v>281.84871057356037</v>
      </c>
      <c r="CE120" s="59">
        <f t="shared" si="94"/>
        <v>276.02211904126887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20.565523939210074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20.565523939210074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319</v>
      </c>
      <c r="CU120" s="17">
        <f>CT120*VLOOKUP('Données projet'!$B$13,Paramètres!$A$1:$I$89,3,0)*VLOOKUP('Données projet'!$B$13,Paramètres!$A$1:$I$89,5,0)</f>
        <v>253.79640000000001</v>
      </c>
      <c r="CV120" s="13">
        <f t="shared" si="95"/>
        <v>61.39816832228076</v>
      </c>
      <c r="CW120" s="20">
        <f t="shared" si="67"/>
        <v>548.96387316130563</v>
      </c>
      <c r="CX120" s="59">
        <f t="shared" si="68"/>
        <v>842.29720649463889</v>
      </c>
      <c r="CY120" s="59">
        <f ca="1">AVERAGE(OFFSET($CX$3,0,0,'Données projet'!$E$13+1,1))-AVERAGE(OFFSET($H$3,0,0,'Données projet'!$E$13+1,1))</f>
        <v>279.49721661620544</v>
      </c>
      <c r="CZ120" s="59">
        <f t="shared" si="96"/>
        <v>275.18739333988754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25.551744454404975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25.551744454404975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267</v>
      </c>
      <c r="DP120" s="17">
        <f>DO120*VLOOKUP('Données projet'!$B$14,Paramètres!$A$1:$I$89,3,0)*VLOOKUP('Données projet'!$B$14,Paramètres!$A$1:$I$89,5,0)</f>
        <v>270.738</v>
      </c>
      <c r="DQ120" s="13">
        <f t="shared" si="97"/>
        <v>65.005866623551711</v>
      </c>
      <c r="DR120" s="20">
        <f t="shared" si="70"/>
        <v>584.7539010360191</v>
      </c>
      <c r="DS120" s="59">
        <f t="shared" si="71"/>
        <v>878.08723436935247</v>
      </c>
      <c r="DT120" s="59">
        <f ca="1">AVERAGE(OFFSET($DS$3,0,0,'Données projet'!$E$14+1,1))-AVERAGE(OFFSET($H$3,0,0,'Données projet'!$E$14+1,1))</f>
        <v>308.80022073574963</v>
      </c>
      <c r="DU120" s="59">
        <f t="shared" si="98"/>
        <v>183.96267407004115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81.419347352138729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81.419347352138729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266.99999999999983</v>
      </c>
      <c r="EK120" s="17">
        <f>EJ120*VLOOKUP('Données projet'!$B$15,Paramètres!$A$1:$I$89,3,0)*VLOOKUP('Données projet'!$B$15,Paramètres!$A$1:$I$89,5,0)</f>
        <v>174.93839999999989</v>
      </c>
      <c r="EL120" s="13">
        <f t="shared" si="99"/>
        <v>44.194210865203175</v>
      </c>
      <c r="EM120" s="20">
        <f t="shared" si="73"/>
        <v>381.65596392356196</v>
      </c>
      <c r="EN120" s="59">
        <f t="shared" si="74"/>
        <v>674.98929725689527</v>
      </c>
      <c r="EO120" s="59">
        <f ca="1">AVERAGE(OFFSET($EN$3,0,0,'Données projet'!$E$15+1,1))-AVERAGE(OFFSET($H$3,0,0,'Données projet'!$E$15+1,1))</f>
        <v>178.71569711875242</v>
      </c>
      <c r="EP120" s="59">
        <f t="shared" si="100"/>
        <v>178.13848582064168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13.931483958819726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13.931483958819726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267</v>
      </c>
      <c r="FF120" s="17">
        <f>FE120*VLOOKUP('Données projet'!$B$16,Paramètres!$A$1:$I$89,3,0)*VLOOKUP('Données projet'!$B$16,Paramètres!$A$1:$I$89,5,0)</f>
        <v>224.92080000000001</v>
      </c>
      <c r="FG120" s="13">
        <f t="shared" si="101"/>
        <v>55.1830164775604</v>
      </c>
      <c r="FH120" s="20">
        <f t="shared" si="76"/>
        <v>487.84748036508444</v>
      </c>
      <c r="FI120" s="59">
        <f t="shared" si="77"/>
        <v>781.18081369841775</v>
      </c>
      <c r="FJ120" s="59">
        <f ca="1">AVERAGE(OFFSET($FI$3,0,0,'Données projet'!$E$16+1,1))-AVERAGE(OFFSET($H$3,0,0,'Données projet'!$E$16+1,1))</f>
        <v>247.22536892257716</v>
      </c>
      <c r="FK120" s="59">
        <f t="shared" si="102"/>
        <v>147.97952262756075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67.640688569469091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67.640688569469091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6">
        <f t="shared" si="56"/>
        <v>420.65606131868589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249.0000000000002</v>
      </c>
      <c r="O121" s="13">
        <f>N121*VLOOKUP('Données projet'!$B$9,Paramètres!$A$1:$I$89,3,0)*VLOOKUP('Données projet'!$B$9,Paramètres!$A$1:$I$89,5,0)</f>
        <v>217.52640000000019</v>
      </c>
      <c r="P121" s="13">
        <f t="shared" si="87"/>
        <v>53.576907690651304</v>
      </c>
      <c r="Q121" s="20">
        <f t="shared" si="107"/>
        <v>472.17159422788467</v>
      </c>
      <c r="R121" s="59">
        <f t="shared" si="55"/>
        <v>765.50492756121798</v>
      </c>
      <c r="S121" s="59">
        <f ca="1">AVERAGE(OFFSET($R$3,0,0,'Données projet'!$E$9+1,1))-AVERAGE(OFFSET($H$3,0,0,'Données projet'!$E$9+1,1))</f>
        <v>253.73326067725128</v>
      </c>
      <c r="T121" s="59">
        <f t="shared" si="88"/>
        <v>317.76427047458026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24.137721267433065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24.137721267433065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732.99999999999966</v>
      </c>
      <c r="AJ121" s="13">
        <f>AI121*VLOOKUP('Données projet'!$B$10,Paramètres!$A$1:$I$89,3,0)*VLOOKUP('Données projet'!$B$10,Paramètres!$A$1:$I$89,5,0)</f>
        <v>352.57299999999987</v>
      </c>
      <c r="AK121" s="13">
        <f t="shared" si="89"/>
        <v>82.092092597941644</v>
      </c>
      <c r="AL121" s="20">
        <f t="shared" si="58"/>
        <v>757.04170294141477</v>
      </c>
      <c r="AM121" s="59">
        <f t="shared" si="59"/>
        <v>1050.375036274748</v>
      </c>
      <c r="AN121" s="59">
        <f ca="1">AVERAGE(OFFSET($AM$3,0,0,'Données projet'!$E$10+1,1))-AVERAGE(OFFSET($H$3,0,0,'Données projet'!$E$10+1,1))</f>
        <v>349.65790906807746</v>
      </c>
      <c r="AO121" s="59">
        <f t="shared" si="90"/>
        <v>291.88925884278888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59.605755976646897</v>
      </c>
      <c r="AV121" s="21">
        <f>EXP(-LN(2)/25)*AV120+(1-EXP(-LN(2)/25))/(LN(2)/25)*Calculateur!AQ121*Calculateur!AS121*VLOOKUP('Données projet'!$B$10,Paramètres!$A$1:$I$89,3,0)*0.475*44/12</f>
        <v>3.5909319995039302</v>
      </c>
      <c r="AW121" s="21">
        <f>EXP(-LN(2)/2)*AW120+(1-EXP(-LN(2)/2))/(LN(2)/2)*AQ121*AT121*VLOOKUP('Données projet'!$B$10,Paramètres!$A$1:$I$89,3,0)*0.475*44/12</f>
        <v>2.9022317088779399E-15</v>
      </c>
      <c r="AX121" s="21">
        <f t="shared" si="60"/>
        <v>63.196687976150827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319</v>
      </c>
      <c r="BE121" s="13">
        <f>BD121*VLOOKUP('Données projet'!$B$11,Paramètres!$A$1:$I$89,3,0)*VLOOKUP('Données projet'!$B$11,Paramètres!$A$1:$I$89,5,0)</f>
        <v>253.79640000000001</v>
      </c>
      <c r="BF121" s="13">
        <f t="shared" si="91"/>
        <v>61.39816832228076</v>
      </c>
      <c r="BG121" s="20">
        <f t="shared" si="61"/>
        <v>548.96387316130563</v>
      </c>
      <c r="BH121" s="59">
        <f t="shared" si="62"/>
        <v>842.29720649463889</v>
      </c>
      <c r="BI121" s="59">
        <f ca="1">AVERAGE(OFFSET($BH$3,0,0,'Données projet'!$E$11+1,1))-AVERAGE(OFFSET($H$3,0,0,'Données projet'!$E$11+1,1))</f>
        <v>279.49721661620544</v>
      </c>
      <c r="BJ121" s="59">
        <f t="shared" si="92"/>
        <v>275.18739333988754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25.050690330679316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25.050690330679316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266.99999999999983</v>
      </c>
      <c r="BZ121" s="13">
        <f>BY121*VLOOKUP('Données projet'!$B$12,Paramètres!$A$1:$I$89,3,0)*VLOOKUP('Données projet'!$B$12,Paramètres!$A$1:$I$89,5,0)</f>
        <v>258.24239999999986</v>
      </c>
      <c r="CA121" s="13">
        <f t="shared" si="93"/>
        <v>62.347580891234152</v>
      </c>
      <c r="CB121" s="20">
        <f t="shared" si="64"/>
        <v>558.3608833855659</v>
      </c>
      <c r="CC121" s="59">
        <f t="shared" si="65"/>
        <v>851.69421671889927</v>
      </c>
      <c r="CD121" s="59">
        <f ca="1">AVERAGE(OFFSET($CC$3,0,0,'Données projet'!$E$12+1,1))-AVERAGE(OFFSET($H$3,0,0,'Données projet'!$E$12+1,1))</f>
        <v>281.84871057356037</v>
      </c>
      <c r="CE121" s="59">
        <f t="shared" si="94"/>
        <v>276.02211904126887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20.162246558493177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20.162246558493177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319</v>
      </c>
      <c r="CU121" s="17">
        <f>CT121*VLOOKUP('Données projet'!$B$13,Paramètres!$A$1:$I$89,3,0)*VLOOKUP('Données projet'!$B$13,Paramètres!$A$1:$I$89,5,0)</f>
        <v>253.79640000000001</v>
      </c>
      <c r="CV121" s="13">
        <f t="shared" si="95"/>
        <v>61.39816832228076</v>
      </c>
      <c r="CW121" s="20">
        <f t="shared" si="67"/>
        <v>548.96387316130563</v>
      </c>
      <c r="CX121" s="59">
        <f t="shared" si="68"/>
        <v>842.29720649463889</v>
      </c>
      <c r="CY121" s="59">
        <f ca="1">AVERAGE(OFFSET($CX$3,0,0,'Données projet'!$E$13+1,1))-AVERAGE(OFFSET($H$3,0,0,'Données projet'!$E$13+1,1))</f>
        <v>279.49721661620544</v>
      </c>
      <c r="CZ121" s="59">
        <f t="shared" si="96"/>
        <v>275.18739333988754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25.050690330679316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25.050690330679316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267</v>
      </c>
      <c r="DP121" s="17">
        <f>DO121*VLOOKUP('Données projet'!$B$14,Paramètres!$A$1:$I$89,3,0)*VLOOKUP('Données projet'!$B$14,Paramètres!$A$1:$I$89,5,0)</f>
        <v>270.738</v>
      </c>
      <c r="DQ121" s="13">
        <f t="shared" si="97"/>
        <v>65.005866623551711</v>
      </c>
      <c r="DR121" s="20">
        <f t="shared" si="70"/>
        <v>584.7539010360191</v>
      </c>
      <c r="DS121" s="59">
        <f t="shared" si="71"/>
        <v>878.08723436935247</v>
      </c>
      <c r="DT121" s="59">
        <f ca="1">AVERAGE(OFFSET($DS$3,0,0,'Données projet'!$E$14+1,1))-AVERAGE(OFFSET($H$3,0,0,'Données projet'!$E$14+1,1))</f>
        <v>308.80022073574963</v>
      </c>
      <c r="DU121" s="59">
        <f t="shared" si="98"/>
        <v>183.96267407004115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79.822763611461568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79.822763611461568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266.99999999999983</v>
      </c>
      <c r="EK121" s="17">
        <f>EJ121*VLOOKUP('Données projet'!$B$15,Paramètres!$A$1:$I$89,3,0)*VLOOKUP('Données projet'!$B$15,Paramètres!$A$1:$I$89,5,0)</f>
        <v>174.93839999999989</v>
      </c>
      <c r="EL121" s="13">
        <f t="shared" si="99"/>
        <v>44.194210865203175</v>
      </c>
      <c r="EM121" s="20">
        <f t="shared" si="73"/>
        <v>381.65596392356196</v>
      </c>
      <c r="EN121" s="59">
        <f t="shared" si="74"/>
        <v>674.98929725689527</v>
      </c>
      <c r="EO121" s="59">
        <f ca="1">AVERAGE(OFFSET($EN$3,0,0,'Données projet'!$E$15+1,1))-AVERAGE(OFFSET($H$3,0,0,'Données projet'!$E$15+1,1))</f>
        <v>178.71569711875242</v>
      </c>
      <c r="EP121" s="59">
        <f t="shared" si="100"/>
        <v>178.13848582064168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13.658296055753441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13.658296055753441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267</v>
      </c>
      <c r="FF121" s="17">
        <f>FE121*VLOOKUP('Données projet'!$B$16,Paramètres!$A$1:$I$89,3,0)*VLOOKUP('Données projet'!$B$16,Paramètres!$A$1:$I$89,5,0)</f>
        <v>224.92080000000001</v>
      </c>
      <c r="FG121" s="13">
        <f t="shared" si="101"/>
        <v>55.1830164775604</v>
      </c>
      <c r="FH121" s="20">
        <f t="shared" si="76"/>
        <v>487.84748036508444</v>
      </c>
      <c r="FI121" s="59">
        <f t="shared" si="77"/>
        <v>781.18081369841775</v>
      </c>
      <c r="FJ121" s="59">
        <f ca="1">AVERAGE(OFFSET($FI$3,0,0,'Données projet'!$E$16+1,1))-AVERAGE(OFFSET($H$3,0,0,'Données projet'!$E$16+1,1))</f>
        <v>247.22536892257716</v>
      </c>
      <c r="FK121" s="59">
        <f t="shared" si="102"/>
        <v>147.97952262756075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66.314295923368064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66.314295923368064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6">
        <f t="shared" si="56"/>
        <v>421.70687948469367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249.0000000000002</v>
      </c>
      <c r="O122" s="13">
        <f>N122*VLOOKUP('Données projet'!$B$9,Paramètres!$A$1:$I$89,3,0)*VLOOKUP('Données projet'!$B$9,Paramètres!$A$1:$I$89,5,0)</f>
        <v>217.52640000000019</v>
      </c>
      <c r="P122" s="13">
        <f t="shared" si="87"/>
        <v>53.576907690651304</v>
      </c>
      <c r="Q122" s="20">
        <f t="shared" si="107"/>
        <v>472.17159422788467</v>
      </c>
      <c r="R122" s="59">
        <f t="shared" si="55"/>
        <v>765.50492756121798</v>
      </c>
      <c r="S122" s="59">
        <f ca="1">AVERAGE(OFFSET($R$3,0,0,'Données projet'!$E$9+1,1))-AVERAGE(OFFSET($H$3,0,0,'Données projet'!$E$9+1,1))</f>
        <v>253.73326067725128</v>
      </c>
      <c r="T122" s="59">
        <f t="shared" si="88"/>
        <v>317.76427047458026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23.664395275934943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23.664395275934943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732.99999999999966</v>
      </c>
      <c r="AJ122" s="13">
        <f>AI122*VLOOKUP('Données projet'!$B$10,Paramètres!$A$1:$I$89,3,0)*VLOOKUP('Données projet'!$B$10,Paramètres!$A$1:$I$89,5,0)</f>
        <v>352.57299999999987</v>
      </c>
      <c r="AK122" s="13">
        <f t="shared" si="89"/>
        <v>82.092092597941644</v>
      </c>
      <c r="AL122" s="20">
        <f t="shared" si="58"/>
        <v>757.04170294141477</v>
      </c>
      <c r="AM122" s="59">
        <f t="shared" si="59"/>
        <v>1050.375036274748</v>
      </c>
      <c r="AN122" s="59">
        <f ca="1">AVERAGE(OFFSET($AM$3,0,0,'Données projet'!$E$10+1,1))-AVERAGE(OFFSET($H$3,0,0,'Données projet'!$E$10+1,1))</f>
        <v>349.65790906807746</v>
      </c>
      <c r="AO122" s="59">
        <f t="shared" si="90"/>
        <v>291.88925884278888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58.43692345786615</v>
      </c>
      <c r="AV122" s="21">
        <f>EXP(-LN(2)/25)*AV121+(1-EXP(-LN(2)/25))/(LN(2)/25)*Calculateur!AQ122*Calculateur!AS122*VLOOKUP('Données projet'!$B$10,Paramètres!$A$1:$I$89,3,0)*0.475*44/12</f>
        <v>3.4927377751385884</v>
      </c>
      <c r="AW122" s="21">
        <f>EXP(-LN(2)/2)*AW121+(1-EXP(-LN(2)/2))/(LN(2)/2)*AQ122*AT122*VLOOKUP('Données projet'!$B$10,Paramètres!$A$1:$I$89,3,0)*0.475*44/12</f>
        <v>2.0521877219222134E-15</v>
      </c>
      <c r="AX122" s="21">
        <f t="shared" si="60"/>
        <v>61.929661233004737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319</v>
      </c>
      <c r="BE122" s="13">
        <f>BD122*VLOOKUP('Données projet'!$B$11,Paramètres!$A$1:$I$89,3,0)*VLOOKUP('Données projet'!$B$11,Paramètres!$A$1:$I$89,5,0)</f>
        <v>253.79640000000001</v>
      </c>
      <c r="BF122" s="13">
        <f t="shared" si="91"/>
        <v>61.39816832228076</v>
      </c>
      <c r="BG122" s="20">
        <f t="shared" si="61"/>
        <v>548.96387316130563</v>
      </c>
      <c r="BH122" s="59">
        <f t="shared" si="62"/>
        <v>842.29720649463889</v>
      </c>
      <c r="BI122" s="59">
        <f ca="1">AVERAGE(OFFSET($BH$3,0,0,'Données projet'!$E$11+1,1))-AVERAGE(OFFSET($H$3,0,0,'Données projet'!$E$11+1,1))</f>
        <v>279.49721661620544</v>
      </c>
      <c r="BJ122" s="59">
        <f t="shared" si="92"/>
        <v>275.18739333988754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24.559461572707079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24.559461572707079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266.99999999999983</v>
      </c>
      <c r="BZ122" s="13">
        <f>BY122*VLOOKUP('Données projet'!$B$12,Paramètres!$A$1:$I$89,3,0)*VLOOKUP('Données projet'!$B$12,Paramètres!$A$1:$I$89,5,0)</f>
        <v>258.24239999999986</v>
      </c>
      <c r="CA122" s="13">
        <f t="shared" si="93"/>
        <v>62.347580891234152</v>
      </c>
      <c r="CB122" s="20">
        <f t="shared" si="64"/>
        <v>558.3608833855659</v>
      </c>
      <c r="CC122" s="59">
        <f t="shared" si="65"/>
        <v>851.69421671889927</v>
      </c>
      <c r="CD122" s="59">
        <f ca="1">AVERAGE(OFFSET($CC$3,0,0,'Données projet'!$E$12+1,1))-AVERAGE(OFFSET($H$3,0,0,'Données projet'!$E$12+1,1))</f>
        <v>281.84871057356037</v>
      </c>
      <c r="CE122" s="59">
        <f t="shared" si="94"/>
        <v>276.02211904126887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19.766877201237225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19.766877201237225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319</v>
      </c>
      <c r="CU122" s="17">
        <f>CT122*VLOOKUP('Données projet'!$B$13,Paramètres!$A$1:$I$89,3,0)*VLOOKUP('Données projet'!$B$13,Paramètres!$A$1:$I$89,5,0)</f>
        <v>253.79640000000001</v>
      </c>
      <c r="CV122" s="13">
        <f t="shared" si="95"/>
        <v>61.39816832228076</v>
      </c>
      <c r="CW122" s="20">
        <f t="shared" si="67"/>
        <v>548.96387316130563</v>
      </c>
      <c r="CX122" s="59">
        <f t="shared" si="68"/>
        <v>842.29720649463889</v>
      </c>
      <c r="CY122" s="59">
        <f ca="1">AVERAGE(OFFSET($CX$3,0,0,'Données projet'!$E$13+1,1))-AVERAGE(OFFSET($H$3,0,0,'Données projet'!$E$13+1,1))</f>
        <v>279.49721661620544</v>
      </c>
      <c r="CZ122" s="59">
        <f t="shared" si="96"/>
        <v>275.18739333988754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24.559461572707079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24.559461572707079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267</v>
      </c>
      <c r="DP122" s="17">
        <f>DO122*VLOOKUP('Données projet'!$B$14,Paramètres!$A$1:$I$89,3,0)*VLOOKUP('Données projet'!$B$14,Paramètres!$A$1:$I$89,5,0)</f>
        <v>270.738</v>
      </c>
      <c r="DQ122" s="13">
        <f t="shared" si="97"/>
        <v>65.005866623551711</v>
      </c>
      <c r="DR122" s="20">
        <f t="shared" si="70"/>
        <v>584.7539010360191</v>
      </c>
      <c r="DS122" s="59">
        <f t="shared" si="71"/>
        <v>878.08723436935247</v>
      </c>
      <c r="DT122" s="59">
        <f ca="1">AVERAGE(OFFSET($DS$3,0,0,'Données projet'!$E$14+1,1))-AVERAGE(OFFSET($H$3,0,0,'Données projet'!$E$14+1,1))</f>
        <v>308.80022073574963</v>
      </c>
      <c r="DU122" s="59">
        <f t="shared" si="98"/>
        <v>183.96267407004115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78.257487904119159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78.257487904119159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266.99999999999983</v>
      </c>
      <c r="EK122" s="17">
        <f>EJ122*VLOOKUP('Données projet'!$B$15,Paramètres!$A$1:$I$89,3,0)*VLOOKUP('Données projet'!$B$15,Paramètres!$A$1:$I$89,5,0)</f>
        <v>174.93839999999989</v>
      </c>
      <c r="EL122" s="13">
        <f t="shared" si="99"/>
        <v>44.194210865203175</v>
      </c>
      <c r="EM122" s="20">
        <f t="shared" si="73"/>
        <v>381.65596392356196</v>
      </c>
      <c r="EN122" s="59">
        <f t="shared" si="74"/>
        <v>674.98929725689527</v>
      </c>
      <c r="EO122" s="59">
        <f ca="1">AVERAGE(OFFSET($EN$3,0,0,'Données projet'!$E$15+1,1))-AVERAGE(OFFSET($H$3,0,0,'Données projet'!$E$15+1,1))</f>
        <v>178.71569711875242</v>
      </c>
      <c r="EP122" s="59">
        <f t="shared" si="100"/>
        <v>178.13848582064168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13.390465200838118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13.390465200838118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267</v>
      </c>
      <c r="FF122" s="17">
        <f>FE122*VLOOKUP('Données projet'!$B$16,Paramètres!$A$1:$I$89,3,0)*VLOOKUP('Données projet'!$B$16,Paramètres!$A$1:$I$89,5,0)</f>
        <v>224.92080000000001</v>
      </c>
      <c r="FG122" s="13">
        <f t="shared" si="101"/>
        <v>55.1830164775604</v>
      </c>
      <c r="FH122" s="20">
        <f t="shared" si="76"/>
        <v>487.84748036508444</v>
      </c>
      <c r="FI122" s="59">
        <f t="shared" si="77"/>
        <v>781.18081369841775</v>
      </c>
      <c r="FJ122" s="59">
        <f ca="1">AVERAGE(OFFSET($FI$3,0,0,'Données projet'!$E$16+1,1))-AVERAGE(OFFSET($H$3,0,0,'Données projet'!$E$16+1,1))</f>
        <v>247.22536892257716</v>
      </c>
      <c r="FK122" s="59">
        <f t="shared" si="102"/>
        <v>147.97952262756075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65.01391302803745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65.01391302803745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6">
        <f t="shared" si="56"/>
        <v>422.75748932896221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249.0000000000002</v>
      </c>
      <c r="O123" s="13">
        <f>N123*VLOOKUP('Données projet'!$B$9,Paramètres!$A$1:$I$89,3,0)*VLOOKUP('Données projet'!$B$9,Paramètres!$A$1:$I$89,5,0)</f>
        <v>217.52640000000019</v>
      </c>
      <c r="P123" s="13">
        <f t="shared" si="87"/>
        <v>53.576907690651304</v>
      </c>
      <c r="Q123" s="20">
        <f t="shared" si="107"/>
        <v>472.17159422788467</v>
      </c>
      <c r="R123" s="59">
        <f t="shared" si="55"/>
        <v>765.50492756121798</v>
      </c>
      <c r="S123" s="59">
        <f ca="1">AVERAGE(OFFSET($R$3,0,0,'Données projet'!$E$9+1,1))-AVERAGE(OFFSET($H$3,0,0,'Données projet'!$E$9+1,1))</f>
        <v>253.73326067725128</v>
      </c>
      <c r="T123" s="59">
        <f t="shared" si="88"/>
        <v>317.76427047458026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23.200350918429752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23.200350918429752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732.99999999999966</v>
      </c>
      <c r="AJ123" s="13">
        <f>AI123*VLOOKUP('Données projet'!$B$10,Paramètres!$A$1:$I$89,3,0)*VLOOKUP('Données projet'!$B$10,Paramètres!$A$1:$I$89,5,0)</f>
        <v>352.57299999999987</v>
      </c>
      <c r="AK123" s="13">
        <f t="shared" si="89"/>
        <v>82.092092597941644</v>
      </c>
      <c r="AL123" s="20">
        <f t="shared" si="58"/>
        <v>757.04170294141477</v>
      </c>
      <c r="AM123" s="59">
        <f t="shared" si="59"/>
        <v>1050.375036274748</v>
      </c>
      <c r="AN123" s="59">
        <f ca="1">AVERAGE(OFFSET($AM$3,0,0,'Données projet'!$E$10+1,1))-AVERAGE(OFFSET($H$3,0,0,'Données projet'!$E$10+1,1))</f>
        <v>349.65790906807746</v>
      </c>
      <c r="AO123" s="59">
        <f t="shared" si="90"/>
        <v>291.88925884278888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57.291011031861252</v>
      </c>
      <c r="AV123" s="21">
        <f>EXP(-LN(2)/25)*AV122+(1-EXP(-LN(2)/25))/(LN(2)/25)*Calculateur!AQ123*Calculateur!AS123*VLOOKUP('Données projet'!$B$10,Paramètres!$A$1:$I$89,3,0)*0.475*44/12</f>
        <v>3.3972286770023268</v>
      </c>
      <c r="AW123" s="21">
        <f>EXP(-LN(2)/2)*AW122+(1-EXP(-LN(2)/2))/(LN(2)/2)*AQ123*AT123*VLOOKUP('Données projet'!$B$10,Paramètres!$A$1:$I$89,3,0)*0.475*44/12</f>
        <v>1.45111585443897E-15</v>
      </c>
      <c r="AX123" s="21">
        <f t="shared" si="60"/>
        <v>60.688239708863577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319</v>
      </c>
      <c r="BE123" s="13">
        <f>BD123*VLOOKUP('Données projet'!$B$11,Paramètres!$A$1:$I$89,3,0)*VLOOKUP('Données projet'!$B$11,Paramètres!$A$1:$I$89,5,0)</f>
        <v>253.79640000000001</v>
      </c>
      <c r="BF123" s="13">
        <f t="shared" si="91"/>
        <v>61.39816832228076</v>
      </c>
      <c r="BG123" s="20">
        <f t="shared" si="61"/>
        <v>548.96387316130563</v>
      </c>
      <c r="BH123" s="59">
        <f t="shared" si="62"/>
        <v>842.29720649463889</v>
      </c>
      <c r="BI123" s="59">
        <f ca="1">AVERAGE(OFFSET($BH$3,0,0,'Données projet'!$E$11+1,1))-AVERAGE(OFFSET($H$3,0,0,'Données projet'!$E$11+1,1))</f>
        <v>279.49721661620544</v>
      </c>
      <c r="BJ123" s="59">
        <f t="shared" si="92"/>
        <v>275.18739333988754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24.077865511058722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24.077865511058722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266.99999999999983</v>
      </c>
      <c r="BZ123" s="13">
        <f>BY123*VLOOKUP('Données projet'!$B$12,Paramètres!$A$1:$I$89,3,0)*VLOOKUP('Données projet'!$B$12,Paramètres!$A$1:$I$89,5,0)</f>
        <v>258.24239999999986</v>
      </c>
      <c r="CA123" s="13">
        <f t="shared" si="93"/>
        <v>62.347580891234152</v>
      </c>
      <c r="CB123" s="20">
        <f t="shared" si="64"/>
        <v>558.3608833855659</v>
      </c>
      <c r="CC123" s="59">
        <f t="shared" si="65"/>
        <v>851.69421671889927</v>
      </c>
      <c r="CD123" s="59">
        <f ca="1">AVERAGE(OFFSET($CC$3,0,0,'Données projet'!$E$12+1,1))-AVERAGE(OFFSET($H$3,0,0,'Données projet'!$E$12+1,1))</f>
        <v>281.84871057356037</v>
      </c>
      <c r="CE123" s="59">
        <f t="shared" si="94"/>
        <v>276.02211904126887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19.379260795925564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19.379260795925564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319</v>
      </c>
      <c r="CU123" s="17">
        <f>CT123*VLOOKUP('Données projet'!$B$13,Paramètres!$A$1:$I$89,3,0)*VLOOKUP('Données projet'!$B$13,Paramètres!$A$1:$I$89,5,0)</f>
        <v>253.79640000000001</v>
      </c>
      <c r="CV123" s="13">
        <f t="shared" si="95"/>
        <v>61.39816832228076</v>
      </c>
      <c r="CW123" s="20">
        <f t="shared" si="67"/>
        <v>548.96387316130563</v>
      </c>
      <c r="CX123" s="59">
        <f t="shared" si="68"/>
        <v>842.29720649463889</v>
      </c>
      <c r="CY123" s="59">
        <f ca="1">AVERAGE(OFFSET($CX$3,0,0,'Données projet'!$E$13+1,1))-AVERAGE(OFFSET($H$3,0,0,'Données projet'!$E$13+1,1))</f>
        <v>279.49721661620544</v>
      </c>
      <c r="CZ123" s="59">
        <f t="shared" si="96"/>
        <v>275.18739333988754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24.077865511058722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24.077865511058722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267</v>
      </c>
      <c r="DP123" s="17">
        <f>DO123*VLOOKUP('Données projet'!$B$14,Paramètres!$A$1:$I$89,3,0)*VLOOKUP('Données projet'!$B$14,Paramètres!$A$1:$I$89,5,0)</f>
        <v>270.738</v>
      </c>
      <c r="DQ123" s="13">
        <f t="shared" si="97"/>
        <v>65.005866623551711</v>
      </c>
      <c r="DR123" s="20">
        <f t="shared" si="70"/>
        <v>584.7539010360191</v>
      </c>
      <c r="DS123" s="59">
        <f t="shared" si="71"/>
        <v>878.08723436935247</v>
      </c>
      <c r="DT123" s="59">
        <f ca="1">AVERAGE(OFFSET($DS$3,0,0,'Données projet'!$E$14+1,1))-AVERAGE(OFFSET($H$3,0,0,'Données projet'!$E$14+1,1))</f>
        <v>308.80022073574963</v>
      </c>
      <c r="DU123" s="59">
        <f t="shared" si="98"/>
        <v>183.96267407004115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76.72290629867382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76.72290629867382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266.99999999999983</v>
      </c>
      <c r="EK123" s="17">
        <f>EJ123*VLOOKUP('Données projet'!$B$15,Paramètres!$A$1:$I$89,3,0)*VLOOKUP('Données projet'!$B$15,Paramètres!$A$1:$I$89,5,0)</f>
        <v>174.93839999999989</v>
      </c>
      <c r="EL123" s="13">
        <f t="shared" si="99"/>
        <v>44.194210865203175</v>
      </c>
      <c r="EM123" s="20">
        <f t="shared" si="73"/>
        <v>381.65596392356196</v>
      </c>
      <c r="EN123" s="59">
        <f t="shared" si="74"/>
        <v>674.98929725689527</v>
      </c>
      <c r="EO123" s="59">
        <f ca="1">AVERAGE(OFFSET($EN$3,0,0,'Données projet'!$E$15+1,1))-AVERAGE(OFFSET($H$3,0,0,'Données projet'!$E$15+1,1))</f>
        <v>178.71569711875242</v>
      </c>
      <c r="EP123" s="59">
        <f t="shared" si="100"/>
        <v>178.13848582064168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13.127886345626994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13.127886345626994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267</v>
      </c>
      <c r="FF123" s="17">
        <f>FE123*VLOOKUP('Données projet'!$B$16,Paramètres!$A$1:$I$89,3,0)*VLOOKUP('Données projet'!$B$16,Paramètres!$A$1:$I$89,5,0)</f>
        <v>224.92080000000001</v>
      </c>
      <c r="FG123" s="13">
        <f t="shared" si="101"/>
        <v>55.1830164775604</v>
      </c>
      <c r="FH123" s="20">
        <f t="shared" si="76"/>
        <v>487.84748036508444</v>
      </c>
      <c r="FI123" s="59">
        <f t="shared" si="77"/>
        <v>781.18081369841775</v>
      </c>
      <c r="FJ123" s="59">
        <f ca="1">AVERAGE(OFFSET($FI$3,0,0,'Données projet'!$E$16+1,1))-AVERAGE(OFFSET($H$3,0,0,'Données projet'!$E$16+1,1))</f>
        <v>247.22536892257716</v>
      </c>
      <c r="FK123" s="59">
        <f t="shared" si="102"/>
        <v>147.97952262756075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63.739029848129022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63.739029848129022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6">
        <f t="shared" si="56"/>
        <v>423.80789278868326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249.0000000000002</v>
      </c>
      <c r="O124" s="13">
        <f>N124*VLOOKUP('Données projet'!$B$9,Paramètres!$A$1:$I$89,3,0)*VLOOKUP('Données projet'!$B$9,Paramètres!$A$1:$I$89,5,0)</f>
        <v>217.52640000000019</v>
      </c>
      <c r="P124" s="13">
        <f t="shared" si="87"/>
        <v>53.576907690651304</v>
      </c>
      <c r="Q124" s="20">
        <f t="shared" si="107"/>
        <v>472.17159422788467</v>
      </c>
      <c r="R124" s="59">
        <f t="shared" si="55"/>
        <v>765.50492756121798</v>
      </c>
      <c r="S124" s="59">
        <f ca="1">AVERAGE(OFFSET($R$3,0,0,'Données projet'!$E$9+1,1))-AVERAGE(OFFSET($H$3,0,0,'Données projet'!$E$9+1,1))</f>
        <v>253.73326067725128</v>
      </c>
      <c r="T124" s="59">
        <f t="shared" si="88"/>
        <v>317.76427047458026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22.745406187736126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22.745406187736126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732.99999999999966</v>
      </c>
      <c r="AJ124" s="13">
        <f>AI124*VLOOKUP('Données projet'!$B$10,Paramètres!$A$1:$I$89,3,0)*VLOOKUP('Données projet'!$B$10,Paramètres!$A$1:$I$89,5,0)</f>
        <v>352.57299999999987</v>
      </c>
      <c r="AK124" s="13">
        <f t="shared" si="89"/>
        <v>82.092092597941644</v>
      </c>
      <c r="AL124" s="20">
        <f t="shared" si="58"/>
        <v>757.04170294141477</v>
      </c>
      <c r="AM124" s="59">
        <f t="shared" si="59"/>
        <v>1050.375036274748</v>
      </c>
      <c r="AN124" s="59">
        <f ca="1">AVERAGE(OFFSET($AM$3,0,0,'Données projet'!$E$10+1,1))-AVERAGE(OFFSET($H$3,0,0,'Données projet'!$E$10+1,1))</f>
        <v>349.65790906807746</v>
      </c>
      <c r="AO124" s="59">
        <f t="shared" si="90"/>
        <v>291.88925884278888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56.167569249592745</v>
      </c>
      <c r="AV124" s="21">
        <f>EXP(-LN(2)/25)*AV123+(1-EXP(-LN(2)/25))/(LN(2)/25)*Calculateur!AQ124*Calculateur!AS124*VLOOKUP('Données projet'!$B$10,Paramètres!$A$1:$I$89,3,0)*0.475*44/12</f>
        <v>3.3043312801772067</v>
      </c>
      <c r="AW124" s="21">
        <f>EXP(-LN(2)/2)*AW123+(1-EXP(-LN(2)/2))/(LN(2)/2)*AQ124*AT124*VLOOKUP('Données projet'!$B$10,Paramètres!$A$1:$I$89,3,0)*0.475*44/12</f>
        <v>1.0260938609611067E-15</v>
      </c>
      <c r="AX124" s="21">
        <f t="shared" si="60"/>
        <v>59.471900529769954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319</v>
      </c>
      <c r="BE124" s="13">
        <f>BD124*VLOOKUP('Données projet'!$B$11,Paramètres!$A$1:$I$89,3,0)*VLOOKUP('Données projet'!$B$11,Paramètres!$A$1:$I$89,5,0)</f>
        <v>253.79640000000001</v>
      </c>
      <c r="BF124" s="13">
        <f t="shared" si="91"/>
        <v>61.39816832228076</v>
      </c>
      <c r="BG124" s="20">
        <f t="shared" si="61"/>
        <v>548.96387316130563</v>
      </c>
      <c r="BH124" s="59">
        <f t="shared" si="62"/>
        <v>842.29720649463889</v>
      </c>
      <c r="BI124" s="59">
        <f ca="1">AVERAGE(OFFSET($BH$3,0,0,'Données projet'!$E$11+1,1))-AVERAGE(OFFSET($H$3,0,0,'Données projet'!$E$11+1,1))</f>
        <v>279.49721661620544</v>
      </c>
      <c r="BJ124" s="59">
        <f t="shared" si="92"/>
        <v>275.18739333988754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23.605713254434693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23.605713254434693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266.99999999999983</v>
      </c>
      <c r="BZ124" s="13">
        <f>BY124*VLOOKUP('Données projet'!$B$12,Paramètres!$A$1:$I$89,3,0)*VLOOKUP('Données projet'!$B$12,Paramètres!$A$1:$I$89,5,0)</f>
        <v>258.24239999999986</v>
      </c>
      <c r="CA124" s="13">
        <f t="shared" si="93"/>
        <v>62.347580891234152</v>
      </c>
      <c r="CB124" s="20">
        <f t="shared" si="64"/>
        <v>558.3608833855659</v>
      </c>
      <c r="CC124" s="59">
        <f t="shared" si="65"/>
        <v>851.69421671889927</v>
      </c>
      <c r="CD124" s="59">
        <f ca="1">AVERAGE(OFFSET($CC$3,0,0,'Données projet'!$E$12+1,1))-AVERAGE(OFFSET($H$3,0,0,'Données projet'!$E$12+1,1))</f>
        <v>281.84871057356037</v>
      </c>
      <c r="CE124" s="59">
        <f t="shared" si="94"/>
        <v>276.02211904126887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18.999245311899404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18.999245311899404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319</v>
      </c>
      <c r="CU124" s="17">
        <f>CT124*VLOOKUP('Données projet'!$B$13,Paramètres!$A$1:$I$89,3,0)*VLOOKUP('Données projet'!$B$13,Paramètres!$A$1:$I$89,5,0)</f>
        <v>253.79640000000001</v>
      </c>
      <c r="CV124" s="13">
        <f t="shared" si="95"/>
        <v>61.39816832228076</v>
      </c>
      <c r="CW124" s="20">
        <f t="shared" si="67"/>
        <v>548.96387316130563</v>
      </c>
      <c r="CX124" s="59">
        <f t="shared" si="68"/>
        <v>842.29720649463889</v>
      </c>
      <c r="CY124" s="59">
        <f ca="1">AVERAGE(OFFSET($CX$3,0,0,'Données projet'!$E$13+1,1))-AVERAGE(OFFSET($H$3,0,0,'Données projet'!$E$13+1,1))</f>
        <v>279.49721661620544</v>
      </c>
      <c r="CZ124" s="59">
        <f t="shared" si="96"/>
        <v>275.18739333988754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23.605713254434693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23.605713254434693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267</v>
      </c>
      <c r="DP124" s="17">
        <f>DO124*VLOOKUP('Données projet'!$B$14,Paramètres!$A$1:$I$89,3,0)*VLOOKUP('Données projet'!$B$14,Paramètres!$A$1:$I$89,5,0)</f>
        <v>270.738</v>
      </c>
      <c r="DQ124" s="13">
        <f t="shared" si="97"/>
        <v>65.005866623551711</v>
      </c>
      <c r="DR124" s="20">
        <f t="shared" si="70"/>
        <v>584.7539010360191</v>
      </c>
      <c r="DS124" s="59">
        <f t="shared" si="71"/>
        <v>878.08723436935247</v>
      </c>
      <c r="DT124" s="59">
        <f ca="1">AVERAGE(OFFSET($DS$3,0,0,'Données projet'!$E$14+1,1))-AVERAGE(OFFSET($H$3,0,0,'Données projet'!$E$14+1,1))</f>
        <v>308.80022073574963</v>
      </c>
      <c r="DU124" s="59">
        <f t="shared" si="98"/>
        <v>183.96267407004115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75.218416902508906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75.218416902508906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266.99999999999983</v>
      </c>
      <c r="EK124" s="17">
        <f>EJ124*VLOOKUP('Données projet'!$B$15,Paramètres!$A$1:$I$89,3,0)*VLOOKUP('Données projet'!$B$15,Paramètres!$A$1:$I$89,5,0)</f>
        <v>174.93839999999989</v>
      </c>
      <c r="EL124" s="13">
        <f t="shared" si="99"/>
        <v>44.194210865203175</v>
      </c>
      <c r="EM124" s="20">
        <f t="shared" si="73"/>
        <v>381.65596392356196</v>
      </c>
      <c r="EN124" s="59">
        <f t="shared" si="74"/>
        <v>674.98929725689527</v>
      </c>
      <c r="EO124" s="59">
        <f ca="1">AVERAGE(OFFSET($EN$3,0,0,'Données projet'!$E$15+1,1))-AVERAGE(OFFSET($H$3,0,0,'Données projet'!$E$15+1,1))</f>
        <v>178.71569711875242</v>
      </c>
      <c r="EP124" s="59">
        <f t="shared" si="100"/>
        <v>178.13848582064168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12.870456501609272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12.870456501609272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267</v>
      </c>
      <c r="FF124" s="17">
        <f>FE124*VLOOKUP('Données projet'!$B$16,Paramètres!$A$1:$I$89,3,0)*VLOOKUP('Données projet'!$B$16,Paramètres!$A$1:$I$89,5,0)</f>
        <v>224.92080000000001</v>
      </c>
      <c r="FG124" s="13">
        <f t="shared" si="101"/>
        <v>55.1830164775604</v>
      </c>
      <c r="FH124" s="20">
        <f t="shared" si="76"/>
        <v>487.84748036508444</v>
      </c>
      <c r="FI124" s="59">
        <f t="shared" si="77"/>
        <v>781.18081369841775</v>
      </c>
      <c r="FJ124" s="59">
        <f ca="1">AVERAGE(OFFSET($FI$3,0,0,'Données projet'!$E$16+1,1))-AVERAGE(OFFSET($H$3,0,0,'Données projet'!$E$16+1,1))</f>
        <v>247.22536892257716</v>
      </c>
      <c r="FK124" s="59">
        <f t="shared" si="102"/>
        <v>147.97952262756075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62.48914634977664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62.48914634977664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6">
        <f t="shared" si="56"/>
        <v>424.85809176718089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249.0000000000002</v>
      </c>
      <c r="O125" s="13">
        <f>N125*VLOOKUP('Données projet'!$B$9,Paramètres!$A$1:$I$89,3,0)*VLOOKUP('Données projet'!$B$9,Paramètres!$A$1:$I$89,5,0)</f>
        <v>217.52640000000019</v>
      </c>
      <c r="P125" s="13">
        <f t="shared" si="87"/>
        <v>53.576907690651304</v>
      </c>
      <c r="Q125" s="20">
        <f t="shared" si="107"/>
        <v>472.17159422788467</v>
      </c>
      <c r="R125" s="59">
        <f t="shared" si="55"/>
        <v>765.50492756121798</v>
      </c>
      <c r="S125" s="59">
        <f ca="1">AVERAGE(OFFSET($R$3,0,0,'Données projet'!$E$9+1,1))-AVERAGE(OFFSET($H$3,0,0,'Données projet'!$E$9+1,1))</f>
        <v>253.73326067725128</v>
      </c>
      <c r="T125" s="59">
        <f t="shared" si="88"/>
        <v>317.76427047458026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22.299382645722517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22.299382645722517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732.99999999999966</v>
      </c>
      <c r="AJ125" s="13">
        <f>AI125*VLOOKUP('Données projet'!$B$10,Paramètres!$A$1:$I$89,3,0)*VLOOKUP('Données projet'!$B$10,Paramètres!$A$1:$I$89,5,0)</f>
        <v>352.57299999999987</v>
      </c>
      <c r="AK125" s="13">
        <f t="shared" si="89"/>
        <v>82.092092597941644</v>
      </c>
      <c r="AL125" s="20">
        <f t="shared" si="58"/>
        <v>757.04170294141477</v>
      </c>
      <c r="AM125" s="59">
        <f t="shared" si="59"/>
        <v>1050.375036274748</v>
      </c>
      <c r="AN125" s="59">
        <f ca="1">AVERAGE(OFFSET($AM$3,0,0,'Données projet'!$E$10+1,1))-AVERAGE(OFFSET($H$3,0,0,'Données projet'!$E$10+1,1))</f>
        <v>349.65790906807746</v>
      </c>
      <c r="AO125" s="59">
        <f t="shared" si="90"/>
        <v>291.88925884278888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55.066157475442694</v>
      </c>
      <c r="AV125" s="21">
        <f>EXP(-LN(2)/25)*AV124+(1-EXP(-LN(2)/25))/(LN(2)/25)*Calculateur!AQ125*Calculateur!AS125*VLOOKUP('Données projet'!$B$10,Paramètres!$A$1:$I$89,3,0)*0.475*44/12</f>
        <v>3.2139741675535309</v>
      </c>
      <c r="AW125" s="21">
        <f>EXP(-LN(2)/2)*AW124+(1-EXP(-LN(2)/2))/(LN(2)/2)*AQ125*AT125*VLOOKUP('Données projet'!$B$10,Paramètres!$A$1:$I$89,3,0)*0.475*44/12</f>
        <v>7.2555792721948499E-16</v>
      </c>
      <c r="AX125" s="21">
        <f t="shared" si="60"/>
        <v>58.280131642996224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319</v>
      </c>
      <c r="BE125" s="13">
        <f>BD125*VLOOKUP('Données projet'!$B$11,Paramètres!$A$1:$I$89,3,0)*VLOOKUP('Données projet'!$B$11,Paramètres!$A$1:$I$89,5,0)</f>
        <v>253.79640000000001</v>
      </c>
      <c r="BF125" s="13">
        <f t="shared" si="91"/>
        <v>61.39816832228076</v>
      </c>
      <c r="BG125" s="20">
        <f t="shared" si="61"/>
        <v>548.96387316130563</v>
      </c>
      <c r="BH125" s="59">
        <f t="shared" si="62"/>
        <v>842.29720649463889</v>
      </c>
      <c r="BI125" s="59">
        <f ca="1">AVERAGE(OFFSET($BH$3,0,0,'Données projet'!$E$11+1,1))-AVERAGE(OFFSET($H$3,0,0,'Données projet'!$E$11+1,1))</f>
        <v>279.49721661620544</v>
      </c>
      <c r="BJ125" s="59">
        <f t="shared" si="92"/>
        <v>275.18739333988754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23.142819615578624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23.142819615578624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266.99999999999983</v>
      </c>
      <c r="BZ125" s="13">
        <f>BY125*VLOOKUP('Données projet'!$B$12,Paramètres!$A$1:$I$89,3,0)*VLOOKUP('Données projet'!$B$12,Paramètres!$A$1:$I$89,5,0)</f>
        <v>258.24239999999986</v>
      </c>
      <c r="CA125" s="13">
        <f t="shared" si="93"/>
        <v>62.347580891234152</v>
      </c>
      <c r="CB125" s="20">
        <f t="shared" si="64"/>
        <v>558.3608833855659</v>
      </c>
      <c r="CC125" s="59">
        <f t="shared" si="65"/>
        <v>851.69421671889927</v>
      </c>
      <c r="CD125" s="59">
        <f ca="1">AVERAGE(OFFSET($CC$3,0,0,'Données projet'!$E$12+1,1))-AVERAGE(OFFSET($H$3,0,0,'Données projet'!$E$12+1,1))</f>
        <v>281.84871057356037</v>
      </c>
      <c r="CE125" s="59">
        <f t="shared" si="94"/>
        <v>276.02211904126887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18.626681699728437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18.626681699728437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319</v>
      </c>
      <c r="CU125" s="17">
        <f>CT125*VLOOKUP('Données projet'!$B$13,Paramètres!$A$1:$I$89,3,0)*VLOOKUP('Données projet'!$B$13,Paramètres!$A$1:$I$89,5,0)</f>
        <v>253.79640000000001</v>
      </c>
      <c r="CV125" s="13">
        <f t="shared" si="95"/>
        <v>61.39816832228076</v>
      </c>
      <c r="CW125" s="20">
        <f t="shared" si="67"/>
        <v>548.96387316130563</v>
      </c>
      <c r="CX125" s="59">
        <f t="shared" si="68"/>
        <v>842.29720649463889</v>
      </c>
      <c r="CY125" s="59">
        <f ca="1">AVERAGE(OFFSET($CX$3,0,0,'Données projet'!$E$13+1,1))-AVERAGE(OFFSET($H$3,0,0,'Données projet'!$E$13+1,1))</f>
        <v>279.49721661620544</v>
      </c>
      <c r="CZ125" s="59">
        <f t="shared" si="96"/>
        <v>275.18739333988754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23.142819615578624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23.142819615578624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267</v>
      </c>
      <c r="DP125" s="17">
        <f>DO125*VLOOKUP('Données projet'!$B$14,Paramètres!$A$1:$I$89,3,0)*VLOOKUP('Données projet'!$B$14,Paramètres!$A$1:$I$89,5,0)</f>
        <v>270.738</v>
      </c>
      <c r="DQ125" s="13">
        <f t="shared" si="97"/>
        <v>65.005866623551711</v>
      </c>
      <c r="DR125" s="20">
        <f t="shared" si="70"/>
        <v>584.7539010360191</v>
      </c>
      <c r="DS125" s="59">
        <f t="shared" si="71"/>
        <v>878.08723436935247</v>
      </c>
      <c r="DT125" s="59">
        <f ca="1">AVERAGE(OFFSET($DS$3,0,0,'Données projet'!$E$14+1,1))-AVERAGE(OFFSET($H$3,0,0,'Données projet'!$E$14+1,1))</f>
        <v>308.80022073574963</v>
      </c>
      <c r="DU125" s="59">
        <f t="shared" si="98"/>
        <v>183.96267407004115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73.743429625754871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73.743429625754871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266.99999999999983</v>
      </c>
      <c r="EK125" s="17">
        <f>EJ125*VLOOKUP('Données projet'!$B$15,Paramètres!$A$1:$I$89,3,0)*VLOOKUP('Données projet'!$B$15,Paramètres!$A$1:$I$89,5,0)</f>
        <v>174.93839999999989</v>
      </c>
      <c r="EL125" s="13">
        <f t="shared" si="99"/>
        <v>44.194210865203175</v>
      </c>
      <c r="EM125" s="20">
        <f t="shared" si="73"/>
        <v>381.65596392356196</v>
      </c>
      <c r="EN125" s="59">
        <f t="shared" si="74"/>
        <v>674.98929725689527</v>
      </c>
      <c r="EO125" s="59">
        <f ca="1">AVERAGE(OFFSET($EN$3,0,0,'Données projet'!$E$15+1,1))-AVERAGE(OFFSET($H$3,0,0,'Données projet'!$E$15+1,1))</f>
        <v>178.71569711875242</v>
      </c>
      <c r="EP125" s="59">
        <f t="shared" si="100"/>
        <v>178.13848582064168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12.618074699816038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12.618074699816038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267</v>
      </c>
      <c r="FF125" s="17">
        <f>FE125*VLOOKUP('Données projet'!$B$16,Paramètres!$A$1:$I$89,3,0)*VLOOKUP('Données projet'!$B$16,Paramètres!$A$1:$I$89,5,0)</f>
        <v>224.92080000000001</v>
      </c>
      <c r="FG125" s="13">
        <f t="shared" si="101"/>
        <v>55.1830164775604</v>
      </c>
      <c r="FH125" s="20">
        <f t="shared" si="76"/>
        <v>487.84748036508444</v>
      </c>
      <c r="FI125" s="59">
        <f t="shared" si="77"/>
        <v>781.18081369841775</v>
      </c>
      <c r="FJ125" s="59">
        <f ca="1">AVERAGE(OFFSET($FI$3,0,0,'Données projet'!$E$16+1,1))-AVERAGE(OFFSET($H$3,0,0,'Données projet'!$E$16+1,1))</f>
        <v>247.22536892257716</v>
      </c>
      <c r="FK125" s="59">
        <f t="shared" si="102"/>
        <v>147.97952262756075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61.263772304473285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61.263772304473285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6">
        <f t="shared" si="56"/>
        <v>425.90808813477543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249.0000000000002</v>
      </c>
      <c r="O126" s="13">
        <f>N126*VLOOKUP('Données projet'!$B$9,Paramètres!$A$1:$I$89,3,0)*VLOOKUP('Données projet'!$B$9,Paramètres!$A$1:$I$89,5,0)</f>
        <v>217.52640000000019</v>
      </c>
      <c r="P126" s="13">
        <f t="shared" si="87"/>
        <v>53.576907690651304</v>
      </c>
      <c r="Q126" s="20">
        <f t="shared" si="107"/>
        <v>472.17159422788467</v>
      </c>
      <c r="R126" s="59">
        <f t="shared" si="55"/>
        <v>765.50492756121798</v>
      </c>
      <c r="S126" s="59">
        <f ca="1">AVERAGE(OFFSET($R$3,0,0,'Données projet'!$E$9+1,1))-AVERAGE(OFFSET($H$3,0,0,'Données projet'!$E$9+1,1))</f>
        <v>253.73326067725128</v>
      </c>
      <c r="T126" s="59">
        <f t="shared" si="88"/>
        <v>317.76427047458026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21.862105353320299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21.862105353320299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732.99999999999966</v>
      </c>
      <c r="AJ126" s="13">
        <f>AI126*VLOOKUP('Données projet'!$B$10,Paramètres!$A$1:$I$89,3,0)*VLOOKUP('Données projet'!$B$10,Paramètres!$A$1:$I$89,5,0)</f>
        <v>352.57299999999987</v>
      </c>
      <c r="AK126" s="13">
        <f t="shared" si="89"/>
        <v>82.092092597941644</v>
      </c>
      <c r="AL126" s="20">
        <f t="shared" si="58"/>
        <v>757.04170294141477</v>
      </c>
      <c r="AM126" s="59">
        <f t="shared" si="59"/>
        <v>1050.375036274748</v>
      </c>
      <c r="AN126" s="59">
        <f ca="1">AVERAGE(OFFSET($AM$3,0,0,'Données projet'!$E$10+1,1))-AVERAGE(OFFSET($H$3,0,0,'Données projet'!$E$10+1,1))</f>
        <v>349.65790906807746</v>
      </c>
      <c r="AO126" s="59">
        <f t="shared" si="90"/>
        <v>291.88925884278888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53.98634371438888</v>
      </c>
      <c r="AV126" s="21">
        <f>EXP(-LN(2)/25)*AV125+(1-EXP(-LN(2)/25))/(LN(2)/25)*Calculateur!AQ126*Calculateur!AS126*VLOOKUP('Données projet'!$B$10,Paramètres!$A$1:$I$89,3,0)*0.475*44/12</f>
        <v>3.126087874926224</v>
      </c>
      <c r="AW126" s="21">
        <f>EXP(-LN(2)/2)*AW125+(1-EXP(-LN(2)/2))/(LN(2)/2)*AQ126*AT126*VLOOKUP('Données projet'!$B$10,Paramètres!$A$1:$I$89,3,0)*0.475*44/12</f>
        <v>5.1304693048055334E-16</v>
      </c>
      <c r="AX126" s="21">
        <f t="shared" si="60"/>
        <v>57.112431589315108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319</v>
      </c>
      <c r="BE126" s="13">
        <f>BD126*VLOOKUP('Données projet'!$B$11,Paramètres!$A$1:$I$89,3,0)*VLOOKUP('Données projet'!$B$11,Paramètres!$A$1:$I$89,5,0)</f>
        <v>253.79640000000001</v>
      </c>
      <c r="BF126" s="13">
        <f t="shared" si="91"/>
        <v>61.39816832228076</v>
      </c>
      <c r="BG126" s="20">
        <f t="shared" si="61"/>
        <v>548.96387316130563</v>
      </c>
      <c r="BH126" s="59">
        <f t="shared" si="62"/>
        <v>842.29720649463889</v>
      </c>
      <c r="BI126" s="59">
        <f ca="1">AVERAGE(OFFSET($BH$3,0,0,'Données projet'!$E$11+1,1))-AVERAGE(OFFSET($H$3,0,0,'Données projet'!$E$11+1,1))</f>
        <v>279.49721661620544</v>
      </c>
      <c r="BJ126" s="59">
        <f t="shared" si="92"/>
        <v>275.18739333988754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22.689003038643282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22.689003038643282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266.99999999999983</v>
      </c>
      <c r="BZ126" s="13">
        <f>BY126*VLOOKUP('Données projet'!$B$12,Paramètres!$A$1:$I$89,3,0)*VLOOKUP('Données projet'!$B$12,Paramètres!$A$1:$I$89,5,0)</f>
        <v>258.24239999999986</v>
      </c>
      <c r="CA126" s="13">
        <f t="shared" si="93"/>
        <v>62.347580891234152</v>
      </c>
      <c r="CB126" s="20">
        <f t="shared" si="64"/>
        <v>558.3608833855659</v>
      </c>
      <c r="CC126" s="59">
        <f t="shared" si="65"/>
        <v>851.69421671889927</v>
      </c>
      <c r="CD126" s="59">
        <f ca="1">AVERAGE(OFFSET($CC$3,0,0,'Données projet'!$E$12+1,1))-AVERAGE(OFFSET($H$3,0,0,'Données projet'!$E$12+1,1))</f>
        <v>281.84871057356037</v>
      </c>
      <c r="CE126" s="59">
        <f t="shared" si="94"/>
        <v>276.02211904126887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18.261423832750779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18.261423832750779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319</v>
      </c>
      <c r="CU126" s="17">
        <f>CT126*VLOOKUP('Données projet'!$B$13,Paramètres!$A$1:$I$89,3,0)*VLOOKUP('Données projet'!$B$13,Paramètres!$A$1:$I$89,5,0)</f>
        <v>253.79640000000001</v>
      </c>
      <c r="CV126" s="13">
        <f t="shared" si="95"/>
        <v>61.39816832228076</v>
      </c>
      <c r="CW126" s="20">
        <f t="shared" si="67"/>
        <v>548.96387316130563</v>
      </c>
      <c r="CX126" s="59">
        <f t="shared" si="68"/>
        <v>842.29720649463889</v>
      </c>
      <c r="CY126" s="59">
        <f ca="1">AVERAGE(OFFSET($CX$3,0,0,'Données projet'!$E$13+1,1))-AVERAGE(OFFSET($H$3,0,0,'Données projet'!$E$13+1,1))</f>
        <v>279.49721661620544</v>
      </c>
      <c r="CZ126" s="59">
        <f t="shared" si="96"/>
        <v>275.18739333988754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22.689003038643282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22.689003038643282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267</v>
      </c>
      <c r="DP126" s="17">
        <f>DO126*VLOOKUP('Données projet'!$B$14,Paramètres!$A$1:$I$89,3,0)*VLOOKUP('Données projet'!$B$14,Paramètres!$A$1:$I$89,5,0)</f>
        <v>270.738</v>
      </c>
      <c r="DQ126" s="13">
        <f t="shared" si="97"/>
        <v>65.005866623551711</v>
      </c>
      <c r="DR126" s="20">
        <f t="shared" si="70"/>
        <v>584.7539010360191</v>
      </c>
      <c r="DS126" s="59">
        <f t="shared" si="71"/>
        <v>878.08723436935247</v>
      </c>
      <c r="DT126" s="59">
        <f ca="1">AVERAGE(OFFSET($DS$3,0,0,'Données projet'!$E$14+1,1))-AVERAGE(OFFSET($H$3,0,0,'Données projet'!$E$14+1,1))</f>
        <v>308.80022073574963</v>
      </c>
      <c r="DU126" s="59">
        <f t="shared" si="98"/>
        <v>183.96267407004115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72.297365949844576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72.297365949844576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266.99999999999983</v>
      </c>
      <c r="EK126" s="17">
        <f>EJ126*VLOOKUP('Données projet'!$B$15,Paramètres!$A$1:$I$89,3,0)*VLOOKUP('Données projet'!$B$15,Paramètres!$A$1:$I$89,5,0)</f>
        <v>174.93839999999989</v>
      </c>
      <c r="EL126" s="13">
        <f t="shared" si="99"/>
        <v>44.194210865203175</v>
      </c>
      <c r="EM126" s="20">
        <f t="shared" si="73"/>
        <v>381.65596392356196</v>
      </c>
      <c r="EN126" s="59">
        <f t="shared" si="74"/>
        <v>674.98929725689527</v>
      </c>
      <c r="EO126" s="59">
        <f ca="1">AVERAGE(OFFSET($EN$3,0,0,'Données projet'!$E$15+1,1))-AVERAGE(OFFSET($H$3,0,0,'Données projet'!$E$15+1,1))</f>
        <v>178.71569711875242</v>
      </c>
      <c r="EP126" s="59">
        <f t="shared" si="100"/>
        <v>178.13848582064168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12.370641951218269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12.370641951218269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267</v>
      </c>
      <c r="FF126" s="17">
        <f>FE126*VLOOKUP('Données projet'!$B$16,Paramètres!$A$1:$I$89,3,0)*VLOOKUP('Données projet'!$B$16,Paramètres!$A$1:$I$89,5,0)</f>
        <v>224.92080000000001</v>
      </c>
      <c r="FG126" s="13">
        <f t="shared" si="101"/>
        <v>55.1830164775604</v>
      </c>
      <c r="FH126" s="20">
        <f t="shared" si="76"/>
        <v>487.84748036508444</v>
      </c>
      <c r="FI126" s="59">
        <f t="shared" si="77"/>
        <v>781.18081369841775</v>
      </c>
      <c r="FJ126" s="59">
        <f ca="1">AVERAGE(OFFSET($FI$3,0,0,'Données projet'!$E$16+1,1))-AVERAGE(OFFSET($H$3,0,0,'Données projet'!$E$16+1,1))</f>
        <v>247.22536892257716</v>
      </c>
      <c r="FK126" s="59">
        <f t="shared" si="102"/>
        <v>147.97952262756075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60.062427096793961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60.062427096793961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6">
        <f t="shared" si="56"/>
        <v>426.95788372961988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249.0000000000002</v>
      </c>
      <c r="O127" s="13">
        <f>N127*VLOOKUP('Données projet'!$B$9,Paramètres!$A$1:$I$89,3,0)*VLOOKUP('Données projet'!$B$9,Paramètres!$A$1:$I$89,5,0)</f>
        <v>217.52640000000019</v>
      </c>
      <c r="P127" s="13">
        <f t="shared" si="87"/>
        <v>53.576907690651304</v>
      </c>
      <c r="Q127" s="20">
        <f t="shared" si="107"/>
        <v>472.17159422788467</v>
      </c>
      <c r="R127" s="59">
        <f t="shared" si="55"/>
        <v>765.50492756121798</v>
      </c>
      <c r="S127" s="59">
        <f ca="1">AVERAGE(OFFSET($R$3,0,0,'Données projet'!$E$9+1,1))-AVERAGE(OFFSET($H$3,0,0,'Données projet'!$E$9+1,1))</f>
        <v>253.73326067725128</v>
      </c>
      <c r="T127" s="59">
        <f t="shared" si="88"/>
        <v>317.76427047458026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21.433402801909274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21.433402801909274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732.99999999999966</v>
      </c>
      <c r="AJ127" s="13">
        <f>AI127*VLOOKUP('Données projet'!$B$10,Paramètres!$A$1:$I$89,3,0)*VLOOKUP('Données projet'!$B$10,Paramètres!$A$1:$I$89,5,0)</f>
        <v>352.57299999999987</v>
      </c>
      <c r="AK127" s="13">
        <f t="shared" si="89"/>
        <v>82.092092597941644</v>
      </c>
      <c r="AL127" s="20">
        <f t="shared" si="58"/>
        <v>757.04170294141477</v>
      </c>
      <c r="AM127" s="59">
        <f t="shared" si="59"/>
        <v>1050.375036274748</v>
      </c>
      <c r="AN127" s="59">
        <f ca="1">AVERAGE(OFFSET($AM$3,0,0,'Données projet'!$E$10+1,1))-AVERAGE(OFFSET($H$3,0,0,'Données projet'!$E$10+1,1))</f>
        <v>349.65790906807746</v>
      </c>
      <c r="AO127" s="59">
        <f t="shared" si="90"/>
        <v>291.88925884278888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52.927704442567972</v>
      </c>
      <c r="AV127" s="21">
        <f>EXP(-LN(2)/25)*AV126+(1-EXP(-LN(2)/25))/(LN(2)/25)*Calculateur!AQ127*Calculateur!AS127*VLOOKUP('Données projet'!$B$10,Paramètres!$A$1:$I$89,3,0)*0.475*44/12</f>
        <v>3.0406048375925496</v>
      </c>
      <c r="AW127" s="21">
        <f>EXP(-LN(2)/2)*AW126+(1-EXP(-LN(2)/2))/(LN(2)/2)*AQ127*AT127*VLOOKUP('Données projet'!$B$10,Paramètres!$A$1:$I$89,3,0)*0.475*44/12</f>
        <v>3.6277896360974249E-16</v>
      </c>
      <c r="AX127" s="21">
        <f t="shared" si="60"/>
        <v>55.968309280160518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319</v>
      </c>
      <c r="BE127" s="13">
        <f>BD127*VLOOKUP('Données projet'!$B$11,Paramètres!$A$1:$I$89,3,0)*VLOOKUP('Données projet'!$B$11,Paramètres!$A$1:$I$89,5,0)</f>
        <v>253.79640000000001</v>
      </c>
      <c r="BF127" s="13">
        <f t="shared" si="91"/>
        <v>61.39816832228076</v>
      </c>
      <c r="BG127" s="20">
        <f t="shared" si="61"/>
        <v>548.96387316130563</v>
      </c>
      <c r="BH127" s="59">
        <f t="shared" si="62"/>
        <v>842.29720649463889</v>
      </c>
      <c r="BI127" s="59">
        <f ca="1">AVERAGE(OFFSET($BH$3,0,0,'Données projet'!$E$11+1,1))-AVERAGE(OFFSET($H$3,0,0,'Données projet'!$E$11+1,1))</f>
        <v>279.49721661620544</v>
      </c>
      <c r="BJ127" s="59">
        <f t="shared" si="92"/>
        <v>275.18739333988754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22.244085527980861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22.244085527980861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266.99999999999983</v>
      </c>
      <c r="BZ127" s="13">
        <f>BY127*VLOOKUP('Données projet'!$B$12,Paramètres!$A$1:$I$89,3,0)*VLOOKUP('Données projet'!$B$12,Paramètres!$A$1:$I$89,5,0)</f>
        <v>258.24239999999986</v>
      </c>
      <c r="CA127" s="13">
        <f t="shared" si="93"/>
        <v>62.347580891234152</v>
      </c>
      <c r="CB127" s="20">
        <f t="shared" si="64"/>
        <v>558.3608833855659</v>
      </c>
      <c r="CC127" s="59">
        <f t="shared" si="65"/>
        <v>851.69421671889927</v>
      </c>
      <c r="CD127" s="59">
        <f ca="1">AVERAGE(OFFSET($CC$3,0,0,'Données projet'!$E$12+1,1))-AVERAGE(OFFSET($H$3,0,0,'Données projet'!$E$12+1,1))</f>
        <v>281.84871057356037</v>
      </c>
      <c r="CE127" s="59">
        <f t="shared" si="94"/>
        <v>276.02211904126887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17.90332844975925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17.90332844975925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319</v>
      </c>
      <c r="CU127" s="17">
        <f>CT127*VLOOKUP('Données projet'!$B$13,Paramètres!$A$1:$I$89,3,0)*VLOOKUP('Données projet'!$B$13,Paramètres!$A$1:$I$89,5,0)</f>
        <v>253.79640000000001</v>
      </c>
      <c r="CV127" s="13">
        <f t="shared" si="95"/>
        <v>61.39816832228076</v>
      </c>
      <c r="CW127" s="20">
        <f t="shared" si="67"/>
        <v>548.96387316130563</v>
      </c>
      <c r="CX127" s="59">
        <f t="shared" si="68"/>
        <v>842.29720649463889</v>
      </c>
      <c r="CY127" s="59">
        <f ca="1">AVERAGE(OFFSET($CX$3,0,0,'Données projet'!$E$13+1,1))-AVERAGE(OFFSET($H$3,0,0,'Données projet'!$E$13+1,1))</f>
        <v>279.49721661620544</v>
      </c>
      <c r="CZ127" s="59">
        <f t="shared" si="96"/>
        <v>275.18739333988754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22.244085527980861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22.244085527980861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267</v>
      </c>
      <c r="DP127" s="17">
        <f>DO127*VLOOKUP('Données projet'!$B$14,Paramètres!$A$1:$I$89,3,0)*VLOOKUP('Données projet'!$B$14,Paramètres!$A$1:$I$89,5,0)</f>
        <v>270.738</v>
      </c>
      <c r="DQ127" s="13">
        <f t="shared" si="97"/>
        <v>65.005866623551711</v>
      </c>
      <c r="DR127" s="20">
        <f t="shared" si="70"/>
        <v>584.7539010360191</v>
      </c>
      <c r="DS127" s="59">
        <f t="shared" si="71"/>
        <v>878.08723436935247</v>
      </c>
      <c r="DT127" s="59">
        <f ca="1">AVERAGE(OFFSET($DS$3,0,0,'Données projet'!$E$14+1,1))-AVERAGE(OFFSET($H$3,0,0,'Données projet'!$E$14+1,1))</f>
        <v>308.80022073574963</v>
      </c>
      <c r="DU127" s="59">
        <f t="shared" si="98"/>
        <v>183.96267407004115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70.879658700607138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70.879658700607138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266.99999999999983</v>
      </c>
      <c r="EK127" s="17">
        <f>EJ127*VLOOKUP('Données projet'!$B$15,Paramètres!$A$1:$I$89,3,0)*VLOOKUP('Données projet'!$B$15,Paramètres!$A$1:$I$89,5,0)</f>
        <v>174.93839999999989</v>
      </c>
      <c r="EL127" s="13">
        <f t="shared" si="99"/>
        <v>44.194210865203175</v>
      </c>
      <c r="EM127" s="20">
        <f t="shared" si="73"/>
        <v>381.65596392356196</v>
      </c>
      <c r="EN127" s="59">
        <f t="shared" si="74"/>
        <v>674.98929725689527</v>
      </c>
      <c r="EO127" s="59">
        <f ca="1">AVERAGE(OFFSET($EN$3,0,0,'Données projet'!$E$15+1,1))-AVERAGE(OFFSET($H$3,0,0,'Données projet'!$E$15+1,1))</f>
        <v>178.71569711875242</v>
      </c>
      <c r="EP127" s="59">
        <f t="shared" si="100"/>
        <v>178.13848582064168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12.128061207901428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12.128061207901428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267</v>
      </c>
      <c r="FF127" s="17">
        <f>FE127*VLOOKUP('Données projet'!$B$16,Paramètres!$A$1:$I$89,3,0)*VLOOKUP('Données projet'!$B$16,Paramètres!$A$1:$I$89,5,0)</f>
        <v>224.92080000000001</v>
      </c>
      <c r="FG127" s="13">
        <f t="shared" si="101"/>
        <v>55.1830164775604</v>
      </c>
      <c r="FH127" s="20">
        <f t="shared" si="76"/>
        <v>487.84748036508444</v>
      </c>
      <c r="FI127" s="59">
        <f t="shared" si="77"/>
        <v>781.18081369841775</v>
      </c>
      <c r="FJ127" s="59">
        <f ca="1">AVERAGE(OFFSET($FI$3,0,0,'Données projet'!$E$16+1,1))-AVERAGE(OFFSET($H$3,0,0,'Données projet'!$E$16+1,1))</f>
        <v>247.22536892257716</v>
      </c>
      <c r="FK127" s="59">
        <f t="shared" si="102"/>
        <v>147.97952262756075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58.884639535889008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58.884639535889008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6">
        <f t="shared" si="56"/>
        <v>428.00748035850785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249.0000000000002</v>
      </c>
      <c r="O128" s="13">
        <f>N128*VLOOKUP('Données projet'!$B$9,Paramètres!$A$1:$I$89,3,0)*VLOOKUP('Données projet'!$B$9,Paramètres!$A$1:$I$89,5,0)</f>
        <v>217.52640000000019</v>
      </c>
      <c r="P128" s="13">
        <f t="shared" si="87"/>
        <v>53.576907690651304</v>
      </c>
      <c r="Q128" s="20">
        <f t="shared" si="107"/>
        <v>472.17159422788467</v>
      </c>
      <c r="R128" s="59">
        <f t="shared" si="55"/>
        <v>765.50492756121798</v>
      </c>
      <c r="S128" s="59">
        <f ca="1">AVERAGE(OFFSET($R$3,0,0,'Données projet'!$E$9+1,1))-AVERAGE(OFFSET($H$3,0,0,'Données projet'!$E$9+1,1))</f>
        <v>253.73326067725128</v>
      </c>
      <c r="T128" s="59">
        <f t="shared" si="88"/>
        <v>317.76427047458026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21.013106846048682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21.013106846048682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732.99999999999966</v>
      </c>
      <c r="AJ128" s="13">
        <f>AI128*VLOOKUP('Données projet'!$B$10,Paramètres!$A$1:$I$89,3,0)*VLOOKUP('Données projet'!$B$10,Paramètres!$A$1:$I$89,5,0)</f>
        <v>352.57299999999987</v>
      </c>
      <c r="AK128" s="13">
        <f t="shared" si="89"/>
        <v>82.092092597941644</v>
      </c>
      <c r="AL128" s="20">
        <f t="shared" si="58"/>
        <v>757.04170294141477</v>
      </c>
      <c r="AM128" s="59">
        <f t="shared" si="59"/>
        <v>1050.375036274748</v>
      </c>
      <c r="AN128" s="59">
        <f ca="1">AVERAGE(OFFSET($AM$3,0,0,'Données projet'!$E$10+1,1))-AVERAGE(OFFSET($H$3,0,0,'Données projet'!$E$10+1,1))</f>
        <v>349.65790906807746</v>
      </c>
      <c r="AO128" s="59">
        <f t="shared" si="90"/>
        <v>291.88925884278888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51.889824441161274</v>
      </c>
      <c r="AV128" s="21">
        <f>EXP(-LN(2)/25)*AV127+(1-EXP(-LN(2)/25))/(LN(2)/25)*Calculateur!AQ128*Calculateur!AS128*VLOOKUP('Données projet'!$B$10,Paramètres!$A$1:$I$89,3,0)*0.475*44/12</f>
        <v>2.9574593384101222</v>
      </c>
      <c r="AW128" s="21">
        <f>EXP(-LN(2)/2)*AW127+(1-EXP(-LN(2)/2))/(LN(2)/2)*AQ128*AT128*VLOOKUP('Données projet'!$B$10,Paramètres!$A$1:$I$89,3,0)*0.475*44/12</f>
        <v>2.5652346524027667E-16</v>
      </c>
      <c r="AX128" s="21">
        <f t="shared" si="60"/>
        <v>54.847283779571399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319</v>
      </c>
      <c r="BE128" s="13">
        <f>BD128*VLOOKUP('Données projet'!$B$11,Paramètres!$A$1:$I$89,3,0)*VLOOKUP('Données projet'!$B$11,Paramètres!$A$1:$I$89,5,0)</f>
        <v>253.79640000000001</v>
      </c>
      <c r="BF128" s="13">
        <f t="shared" si="91"/>
        <v>61.39816832228076</v>
      </c>
      <c r="BG128" s="20">
        <f t="shared" si="61"/>
        <v>548.96387316130563</v>
      </c>
      <c r="BH128" s="59">
        <f t="shared" si="62"/>
        <v>842.29720649463889</v>
      </c>
      <c r="BI128" s="59">
        <f ca="1">AVERAGE(OFFSET($BH$3,0,0,'Données projet'!$E$11+1,1))-AVERAGE(OFFSET($H$3,0,0,'Données projet'!$E$11+1,1))</f>
        <v>279.49721661620544</v>
      </c>
      <c r="BJ128" s="59">
        <f t="shared" si="92"/>
        <v>275.18739333988754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21.807892578329643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21.807892578329643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266.99999999999983</v>
      </c>
      <c r="BZ128" s="13">
        <f>BY128*VLOOKUP('Données projet'!$B$12,Paramètres!$A$1:$I$89,3,0)*VLOOKUP('Données projet'!$B$12,Paramètres!$A$1:$I$89,5,0)</f>
        <v>258.24239999999986</v>
      </c>
      <c r="CA128" s="13">
        <f t="shared" si="93"/>
        <v>62.347580891234152</v>
      </c>
      <c r="CB128" s="20">
        <f t="shared" si="64"/>
        <v>558.3608833855659</v>
      </c>
      <c r="CC128" s="59">
        <f t="shared" si="65"/>
        <v>851.69421671889927</v>
      </c>
      <c r="CD128" s="59">
        <f ca="1">AVERAGE(OFFSET($CC$3,0,0,'Données projet'!$E$12+1,1))-AVERAGE(OFFSET($H$3,0,0,'Données projet'!$E$12+1,1))</f>
        <v>281.84871057356037</v>
      </c>
      <c r="CE128" s="59">
        <f t="shared" si="94"/>
        <v>276.02211904126887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17.552255098811571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17.552255098811571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319</v>
      </c>
      <c r="CU128" s="17">
        <f>CT128*VLOOKUP('Données projet'!$B$13,Paramètres!$A$1:$I$89,3,0)*VLOOKUP('Données projet'!$B$13,Paramètres!$A$1:$I$89,5,0)</f>
        <v>253.79640000000001</v>
      </c>
      <c r="CV128" s="13">
        <f t="shared" si="95"/>
        <v>61.39816832228076</v>
      </c>
      <c r="CW128" s="20">
        <f t="shared" si="67"/>
        <v>548.96387316130563</v>
      </c>
      <c r="CX128" s="59">
        <f t="shared" si="68"/>
        <v>842.29720649463889</v>
      </c>
      <c r="CY128" s="59">
        <f ca="1">AVERAGE(OFFSET($CX$3,0,0,'Données projet'!$E$13+1,1))-AVERAGE(OFFSET($H$3,0,0,'Données projet'!$E$13+1,1))</f>
        <v>279.49721661620544</v>
      </c>
      <c r="CZ128" s="59">
        <f t="shared" si="96"/>
        <v>275.18739333988754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21.807892578329643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21.807892578329643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267</v>
      </c>
      <c r="DP128" s="17">
        <f>DO128*VLOOKUP('Données projet'!$B$14,Paramètres!$A$1:$I$89,3,0)*VLOOKUP('Données projet'!$B$14,Paramètres!$A$1:$I$89,5,0)</f>
        <v>270.738</v>
      </c>
      <c r="DQ128" s="13">
        <f t="shared" si="97"/>
        <v>65.005866623551711</v>
      </c>
      <c r="DR128" s="20">
        <f t="shared" si="70"/>
        <v>584.7539010360191</v>
      </c>
      <c r="DS128" s="59">
        <f t="shared" si="71"/>
        <v>878.08723436935247</v>
      </c>
      <c r="DT128" s="59">
        <f ca="1">AVERAGE(OFFSET($DS$3,0,0,'Données projet'!$E$14+1,1))-AVERAGE(OFFSET($H$3,0,0,'Données projet'!$E$14+1,1))</f>
        <v>308.80022073574963</v>
      </c>
      <c r="DU128" s="59">
        <f t="shared" si="98"/>
        <v>183.96267407004115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69.489751825811197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69.489751825811197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266.99999999999983</v>
      </c>
      <c r="EK128" s="17">
        <f>EJ128*VLOOKUP('Données projet'!$B$15,Paramètres!$A$1:$I$89,3,0)*VLOOKUP('Données projet'!$B$15,Paramètres!$A$1:$I$89,5,0)</f>
        <v>174.93839999999989</v>
      </c>
      <c r="EL128" s="13">
        <f t="shared" si="99"/>
        <v>44.194210865203175</v>
      </c>
      <c r="EM128" s="20">
        <f t="shared" si="73"/>
        <v>381.65596392356196</v>
      </c>
      <c r="EN128" s="59">
        <f t="shared" si="74"/>
        <v>674.98929725689527</v>
      </c>
      <c r="EO128" s="59">
        <f ca="1">AVERAGE(OFFSET($EN$3,0,0,'Données projet'!$E$15+1,1))-AVERAGE(OFFSET($H$3,0,0,'Données projet'!$E$15+1,1))</f>
        <v>178.71569711875242</v>
      </c>
      <c r="EP128" s="59">
        <f t="shared" si="100"/>
        <v>178.13848582064168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11.890237325001387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11.890237325001387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267</v>
      </c>
      <c r="FF128" s="17">
        <f>FE128*VLOOKUP('Données projet'!$B$16,Paramètres!$A$1:$I$89,3,0)*VLOOKUP('Données projet'!$B$16,Paramètres!$A$1:$I$89,5,0)</f>
        <v>224.92080000000001</v>
      </c>
      <c r="FG128" s="13">
        <f t="shared" si="101"/>
        <v>55.1830164775604</v>
      </c>
      <c r="FH128" s="20">
        <f t="shared" si="76"/>
        <v>487.84748036508444</v>
      </c>
      <c r="FI128" s="59">
        <f t="shared" si="77"/>
        <v>781.18081369841775</v>
      </c>
      <c r="FJ128" s="59">
        <f ca="1">AVERAGE(OFFSET($FI$3,0,0,'Données projet'!$E$16+1,1))-AVERAGE(OFFSET($H$3,0,0,'Données projet'!$E$16+1,1))</f>
        <v>247.22536892257716</v>
      </c>
      <c r="FK128" s="59">
        <f t="shared" si="102"/>
        <v>147.97952262756075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57.729947670673923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57.729947670673923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6">
        <f t="shared" si="56"/>
        <v>429.05687979765503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249.0000000000002</v>
      </c>
      <c r="O129" s="13">
        <f>N129*VLOOKUP('Données projet'!$B$9,Paramètres!$A$1:$I$89,3,0)*VLOOKUP('Données projet'!$B$9,Paramètres!$A$1:$I$89,5,0)</f>
        <v>217.52640000000019</v>
      </c>
      <c r="P129" s="13">
        <f t="shared" si="87"/>
        <v>53.576907690651304</v>
      </c>
      <c r="Q129" s="20">
        <f t="shared" si="107"/>
        <v>472.17159422788467</v>
      </c>
      <c r="R129" s="59">
        <f t="shared" si="55"/>
        <v>765.50492756121798</v>
      </c>
      <c r="S129" s="59">
        <f ca="1">AVERAGE(OFFSET($R$3,0,0,'Données projet'!$E$9+1,1))-AVERAGE(OFFSET($H$3,0,0,'Données projet'!$E$9+1,1))</f>
        <v>253.73326067725128</v>
      </c>
      <c r="T129" s="59">
        <f t="shared" si="88"/>
        <v>317.76427047458026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20.601052637527296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20.601052637527296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732.99999999999966</v>
      </c>
      <c r="AJ129" s="13">
        <f>AI129*VLOOKUP('Données projet'!$B$10,Paramètres!$A$1:$I$89,3,0)*VLOOKUP('Données projet'!$B$10,Paramètres!$A$1:$I$89,5,0)</f>
        <v>352.57299999999987</v>
      </c>
      <c r="AK129" s="13">
        <f t="shared" si="89"/>
        <v>82.092092597941644</v>
      </c>
      <c r="AL129" s="20">
        <f t="shared" si="58"/>
        <v>757.04170294141477</v>
      </c>
      <c r="AM129" s="59">
        <f t="shared" si="59"/>
        <v>1050.375036274748</v>
      </c>
      <c r="AN129" s="59">
        <f ca="1">AVERAGE(OFFSET($AM$3,0,0,'Données projet'!$E$10+1,1))-AVERAGE(OFFSET($H$3,0,0,'Données projet'!$E$10+1,1))</f>
        <v>349.65790906807746</v>
      </c>
      <c r="AO129" s="59">
        <f t="shared" si="90"/>
        <v>291.88925884278888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50.872296633537864</v>
      </c>
      <c r="AV129" s="21">
        <f>EXP(-LN(2)/25)*AV128+(1-EXP(-LN(2)/25))/(LN(2)/25)*Calculateur!AQ129*Calculateur!AS129*VLOOKUP('Données projet'!$B$10,Paramètres!$A$1:$I$89,3,0)*0.475*44/12</f>
        <v>2.8765874572752703</v>
      </c>
      <c r="AW129" s="21">
        <f>EXP(-LN(2)/2)*AW128+(1-EXP(-LN(2)/2))/(LN(2)/2)*AQ129*AT129*VLOOKUP('Données projet'!$B$10,Paramètres!$A$1:$I$89,3,0)*0.475*44/12</f>
        <v>1.8138948180487125E-16</v>
      </c>
      <c r="AX129" s="21">
        <f t="shared" si="60"/>
        <v>53.748884090813135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319</v>
      </c>
      <c r="BE129" s="13">
        <f>BD129*VLOOKUP('Données projet'!$B$11,Paramètres!$A$1:$I$89,3,0)*VLOOKUP('Données projet'!$B$11,Paramètres!$A$1:$I$89,5,0)</f>
        <v>253.79640000000001</v>
      </c>
      <c r="BF129" s="13">
        <f t="shared" si="91"/>
        <v>61.39816832228076</v>
      </c>
      <c r="BG129" s="20">
        <f t="shared" si="61"/>
        <v>548.96387316130563</v>
      </c>
      <c r="BH129" s="59">
        <f t="shared" si="62"/>
        <v>842.29720649463889</v>
      </c>
      <c r="BI129" s="59">
        <f ca="1">AVERAGE(OFFSET($BH$3,0,0,'Données projet'!$E$11+1,1))-AVERAGE(OFFSET($H$3,0,0,'Données projet'!$E$11+1,1))</f>
        <v>279.49721661620544</v>
      </c>
      <c r="BJ129" s="59">
        <f t="shared" si="92"/>
        <v>275.18739333988754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21.380253106369658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21.380253106369658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266.99999999999983</v>
      </c>
      <c r="BZ129" s="13">
        <f>BY129*VLOOKUP('Données projet'!$B$12,Paramètres!$A$1:$I$89,3,0)*VLOOKUP('Données projet'!$B$12,Paramètres!$A$1:$I$89,5,0)</f>
        <v>258.24239999999986</v>
      </c>
      <c r="CA129" s="13">
        <f t="shared" si="93"/>
        <v>62.347580891234152</v>
      </c>
      <c r="CB129" s="20">
        <f t="shared" si="64"/>
        <v>558.3608833855659</v>
      </c>
      <c r="CC129" s="59">
        <f t="shared" si="65"/>
        <v>851.69421671889927</v>
      </c>
      <c r="CD129" s="59">
        <f ca="1">AVERAGE(OFFSET($CC$3,0,0,'Données projet'!$E$12+1,1))-AVERAGE(OFFSET($H$3,0,0,'Données projet'!$E$12+1,1))</f>
        <v>281.84871057356037</v>
      </c>
      <c r="CE129" s="59">
        <f t="shared" si="94"/>
        <v>276.02211904126887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17.208066082142373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17.208066082142373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319</v>
      </c>
      <c r="CU129" s="17">
        <f>CT129*VLOOKUP('Données projet'!$B$13,Paramètres!$A$1:$I$89,3,0)*VLOOKUP('Données projet'!$B$13,Paramètres!$A$1:$I$89,5,0)</f>
        <v>253.79640000000001</v>
      </c>
      <c r="CV129" s="13">
        <f t="shared" si="95"/>
        <v>61.39816832228076</v>
      </c>
      <c r="CW129" s="20">
        <f t="shared" si="67"/>
        <v>548.96387316130563</v>
      </c>
      <c r="CX129" s="59">
        <f t="shared" si="68"/>
        <v>842.29720649463889</v>
      </c>
      <c r="CY129" s="59">
        <f ca="1">AVERAGE(OFFSET($CX$3,0,0,'Données projet'!$E$13+1,1))-AVERAGE(OFFSET($H$3,0,0,'Données projet'!$E$13+1,1))</f>
        <v>279.49721661620544</v>
      </c>
      <c r="CZ129" s="59">
        <f t="shared" si="96"/>
        <v>275.18739333988754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21.380253106369658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21.380253106369658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267</v>
      </c>
      <c r="DP129" s="17">
        <f>DO129*VLOOKUP('Données projet'!$B$14,Paramètres!$A$1:$I$89,3,0)*VLOOKUP('Données projet'!$B$14,Paramètres!$A$1:$I$89,5,0)</f>
        <v>270.738</v>
      </c>
      <c r="DQ129" s="13">
        <f t="shared" si="97"/>
        <v>65.005866623551711</v>
      </c>
      <c r="DR129" s="20">
        <f t="shared" si="70"/>
        <v>584.7539010360191</v>
      </c>
      <c r="DS129" s="59">
        <f t="shared" si="71"/>
        <v>878.08723436935247</v>
      </c>
      <c r="DT129" s="59">
        <f ca="1">AVERAGE(OFFSET($DS$3,0,0,'Données projet'!$E$14+1,1))-AVERAGE(OFFSET($H$3,0,0,'Données projet'!$E$14+1,1))</f>
        <v>308.80022073574963</v>
      </c>
      <c r="DU129" s="59">
        <f t="shared" si="98"/>
        <v>183.96267407004115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68.127100177070531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68.127100177070531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266.99999999999983</v>
      </c>
      <c r="EK129" s="17">
        <f>EJ129*VLOOKUP('Données projet'!$B$15,Paramètres!$A$1:$I$89,3,0)*VLOOKUP('Données projet'!$B$15,Paramètres!$A$1:$I$89,5,0)</f>
        <v>174.93839999999989</v>
      </c>
      <c r="EL129" s="13">
        <f t="shared" si="99"/>
        <v>44.194210865203175</v>
      </c>
      <c r="EM129" s="20">
        <f t="shared" si="73"/>
        <v>381.65596392356196</v>
      </c>
      <c r="EN129" s="59">
        <f t="shared" si="74"/>
        <v>674.98929725689527</v>
      </c>
      <c r="EO129" s="59">
        <f ca="1">AVERAGE(OFFSET($EN$3,0,0,'Données projet'!$E$15+1,1))-AVERAGE(OFFSET($H$3,0,0,'Données projet'!$E$15+1,1))</f>
        <v>178.71569711875242</v>
      </c>
      <c r="EP129" s="59">
        <f t="shared" si="100"/>
        <v>178.13848582064168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11.657077023386769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11.657077023386769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267</v>
      </c>
      <c r="FF129" s="17">
        <f>FE129*VLOOKUP('Données projet'!$B$16,Paramètres!$A$1:$I$89,3,0)*VLOOKUP('Données projet'!$B$16,Paramètres!$A$1:$I$89,5,0)</f>
        <v>224.92080000000001</v>
      </c>
      <c r="FG129" s="13">
        <f t="shared" si="101"/>
        <v>55.1830164775604</v>
      </c>
      <c r="FH129" s="20">
        <f t="shared" si="76"/>
        <v>487.84748036508444</v>
      </c>
      <c r="FI129" s="59">
        <f t="shared" si="77"/>
        <v>781.18081369841775</v>
      </c>
      <c r="FJ129" s="59">
        <f ca="1">AVERAGE(OFFSET($FI$3,0,0,'Données projet'!$E$16+1,1))-AVERAGE(OFFSET($H$3,0,0,'Données projet'!$E$16+1,1))</f>
        <v>247.22536892257716</v>
      </c>
      <c r="FK129" s="59">
        <f t="shared" si="102"/>
        <v>147.97952262756075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56.597898608643213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56.597898608643213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6">
        <f t="shared" si="56"/>
        <v>430.10608379345501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249.0000000000002</v>
      </c>
      <c r="O130" s="13">
        <f>N130*VLOOKUP('Données projet'!$B$9,Paramètres!$A$1:$I$89,3,0)*VLOOKUP('Données projet'!$B$9,Paramètres!$A$1:$I$89,5,0)</f>
        <v>217.52640000000019</v>
      </c>
      <c r="P130" s="13">
        <f t="shared" si="87"/>
        <v>53.576907690651304</v>
      </c>
      <c r="Q130" s="20">
        <f t="shared" si="107"/>
        <v>472.17159422788467</v>
      </c>
      <c r="R130" s="59">
        <f t="shared" si="55"/>
        <v>765.50492756121798</v>
      </c>
      <c r="S130" s="59">
        <f ca="1">AVERAGE(OFFSET($R$3,0,0,'Données projet'!$E$9+1,1))-AVERAGE(OFFSET($H$3,0,0,'Données projet'!$E$9+1,1))</f>
        <v>253.73326067725128</v>
      </c>
      <c r="T130" s="59">
        <f t="shared" si="88"/>
        <v>317.76427047458026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20.197078560706764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20.197078560706764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732.99999999999966</v>
      </c>
      <c r="AJ130" s="13">
        <f>AI130*VLOOKUP('Données projet'!$B$10,Paramètres!$A$1:$I$89,3,0)*VLOOKUP('Données projet'!$B$10,Paramètres!$A$1:$I$89,5,0)</f>
        <v>352.57299999999987</v>
      </c>
      <c r="AK130" s="13">
        <f t="shared" si="89"/>
        <v>82.092092597941644</v>
      </c>
      <c r="AL130" s="20">
        <f t="shared" si="58"/>
        <v>757.04170294141477</v>
      </c>
      <c r="AM130" s="59">
        <f t="shared" si="59"/>
        <v>1050.375036274748</v>
      </c>
      <c r="AN130" s="59">
        <f ca="1">AVERAGE(OFFSET($AM$3,0,0,'Données projet'!$E$10+1,1))-AVERAGE(OFFSET($H$3,0,0,'Données projet'!$E$10+1,1))</f>
        <v>349.65790906807746</v>
      </c>
      <c r="AO130" s="59">
        <f t="shared" si="90"/>
        <v>291.88925884278888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49.874721925591267</v>
      </c>
      <c r="AV130" s="21">
        <f>EXP(-LN(2)/25)*AV129+(1-EXP(-LN(2)/25))/(LN(2)/25)*Calculateur!AQ130*Calculateur!AS130*VLOOKUP('Données projet'!$B$10,Paramètres!$A$1:$I$89,3,0)*0.475*44/12</f>
        <v>2.7979270219829182</v>
      </c>
      <c r="AW130" s="21">
        <f>EXP(-LN(2)/2)*AW129+(1-EXP(-LN(2)/2))/(LN(2)/2)*AQ130*AT130*VLOOKUP('Données projet'!$B$10,Paramètres!$A$1:$I$89,3,0)*0.475*44/12</f>
        <v>1.2826173262013834E-16</v>
      </c>
      <c r="AX130" s="21">
        <f t="shared" si="60"/>
        <v>52.672648947574189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319</v>
      </c>
      <c r="BE130" s="13">
        <f>BD130*VLOOKUP('Données projet'!$B$11,Paramètres!$A$1:$I$89,3,0)*VLOOKUP('Données projet'!$B$11,Paramètres!$A$1:$I$89,5,0)</f>
        <v>253.79640000000001</v>
      </c>
      <c r="BF130" s="13">
        <f t="shared" si="91"/>
        <v>61.39816832228076</v>
      </c>
      <c r="BG130" s="20">
        <f t="shared" si="61"/>
        <v>548.96387316130563</v>
      </c>
      <c r="BH130" s="59">
        <f t="shared" si="62"/>
        <v>842.29720649463889</v>
      </c>
      <c r="BI130" s="59">
        <f ca="1">AVERAGE(OFFSET($BH$3,0,0,'Données projet'!$E$11+1,1))-AVERAGE(OFFSET($H$3,0,0,'Données projet'!$E$11+1,1))</f>
        <v>279.49721661620544</v>
      </c>
      <c r="BJ130" s="59">
        <f t="shared" si="92"/>
        <v>275.18739333988754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20.960999383620486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20.960999383620486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266.99999999999983</v>
      </c>
      <c r="BZ130" s="13">
        <f>BY130*VLOOKUP('Données projet'!$B$12,Paramètres!$A$1:$I$89,3,0)*VLOOKUP('Données projet'!$B$12,Paramètres!$A$1:$I$89,5,0)</f>
        <v>258.24239999999986</v>
      </c>
      <c r="CA130" s="13">
        <f t="shared" si="93"/>
        <v>62.347580891234152</v>
      </c>
      <c r="CB130" s="20">
        <f t="shared" si="64"/>
        <v>558.3608833855659</v>
      </c>
      <c r="CC130" s="59">
        <f t="shared" si="65"/>
        <v>851.69421671889927</v>
      </c>
      <c r="CD130" s="59">
        <f ca="1">AVERAGE(OFFSET($CC$3,0,0,'Données projet'!$E$12+1,1))-AVERAGE(OFFSET($H$3,0,0,'Données projet'!$E$12+1,1))</f>
        <v>281.84871057356037</v>
      </c>
      <c r="CE130" s="59">
        <f t="shared" si="94"/>
        <v>276.02211904126887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16.870626402155491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16.870626402155491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319</v>
      </c>
      <c r="CU130" s="17">
        <f>CT130*VLOOKUP('Données projet'!$B$13,Paramètres!$A$1:$I$89,3,0)*VLOOKUP('Données projet'!$B$13,Paramètres!$A$1:$I$89,5,0)</f>
        <v>253.79640000000001</v>
      </c>
      <c r="CV130" s="13">
        <f t="shared" si="95"/>
        <v>61.39816832228076</v>
      </c>
      <c r="CW130" s="20">
        <f t="shared" si="67"/>
        <v>548.96387316130563</v>
      </c>
      <c r="CX130" s="59">
        <f t="shared" si="68"/>
        <v>842.29720649463889</v>
      </c>
      <c r="CY130" s="59">
        <f ca="1">AVERAGE(OFFSET($CX$3,0,0,'Données projet'!$E$13+1,1))-AVERAGE(OFFSET($H$3,0,0,'Données projet'!$E$13+1,1))</f>
        <v>279.49721661620544</v>
      </c>
      <c r="CZ130" s="59">
        <f t="shared" si="96"/>
        <v>275.18739333988754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20.960999383620486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20.960999383620486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267</v>
      </c>
      <c r="DP130" s="17">
        <f>DO130*VLOOKUP('Données projet'!$B$14,Paramètres!$A$1:$I$89,3,0)*VLOOKUP('Données projet'!$B$14,Paramètres!$A$1:$I$89,5,0)</f>
        <v>270.738</v>
      </c>
      <c r="DQ130" s="13">
        <f t="shared" si="97"/>
        <v>65.005866623551711</v>
      </c>
      <c r="DR130" s="20">
        <f t="shared" si="70"/>
        <v>584.7539010360191</v>
      </c>
      <c r="DS130" s="59">
        <f t="shared" si="71"/>
        <v>878.08723436935247</v>
      </c>
      <c r="DT130" s="59">
        <f ca="1">AVERAGE(OFFSET($DS$3,0,0,'Données projet'!$E$14+1,1))-AVERAGE(OFFSET($H$3,0,0,'Données projet'!$E$14+1,1))</f>
        <v>308.80022073574963</v>
      </c>
      <c r="DU130" s="59">
        <f t="shared" si="98"/>
        <v>183.96267407004115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66.791169296026226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66.791169296026226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266.99999999999983</v>
      </c>
      <c r="EK130" s="17">
        <f>EJ130*VLOOKUP('Données projet'!$B$15,Paramètres!$A$1:$I$89,3,0)*VLOOKUP('Données projet'!$B$15,Paramètres!$A$1:$I$89,5,0)</f>
        <v>174.93839999999989</v>
      </c>
      <c r="EL130" s="13">
        <f t="shared" si="99"/>
        <v>44.194210865203175</v>
      </c>
      <c r="EM130" s="20">
        <f t="shared" si="73"/>
        <v>381.65596392356196</v>
      </c>
      <c r="EN130" s="59">
        <f t="shared" si="74"/>
        <v>674.98929725689527</v>
      </c>
      <c r="EO130" s="59">
        <f ca="1">AVERAGE(OFFSET($EN$3,0,0,'Données projet'!$E$15+1,1))-AVERAGE(OFFSET($H$3,0,0,'Données projet'!$E$15+1,1))</f>
        <v>178.71569711875242</v>
      </c>
      <c r="EP130" s="59">
        <f t="shared" si="100"/>
        <v>178.13848582064168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11.428488853073073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11.428488853073073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267</v>
      </c>
      <c r="FF130" s="17">
        <f>FE130*VLOOKUP('Données projet'!$B$16,Paramètres!$A$1:$I$89,3,0)*VLOOKUP('Données projet'!$B$16,Paramètres!$A$1:$I$89,5,0)</f>
        <v>224.92080000000001</v>
      </c>
      <c r="FG130" s="13">
        <f t="shared" si="101"/>
        <v>55.1830164775604</v>
      </c>
      <c r="FH130" s="20">
        <f t="shared" si="76"/>
        <v>487.84748036508444</v>
      </c>
      <c r="FI130" s="59">
        <f t="shared" si="77"/>
        <v>781.18081369841775</v>
      </c>
      <c r="FJ130" s="59">
        <f ca="1">AVERAGE(OFFSET($FI$3,0,0,'Données projet'!$E$16+1,1))-AVERAGE(OFFSET($H$3,0,0,'Données projet'!$E$16+1,1))</f>
        <v>247.22536892257716</v>
      </c>
      <c r="FK130" s="59">
        <f t="shared" si="102"/>
        <v>147.97952262756075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55.488048338237178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55.488048338237178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6">
        <f t="shared" si="56"/>
        <v>431.15509406321121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249.0000000000002</v>
      </c>
      <c r="O131" s="13">
        <f>N131*VLOOKUP('Données projet'!$B$9,Paramètres!$A$1:$I$89,3,0)*VLOOKUP('Données projet'!$B$9,Paramètres!$A$1:$I$89,5,0)</f>
        <v>217.52640000000019</v>
      </c>
      <c r="P131" s="13">
        <f t="shared" si="87"/>
        <v>53.576907690651304</v>
      </c>
      <c r="Q131" s="20">
        <f t="shared" ref="Q131:Q153" si="108">(O131+P131)*0.475*44/12</f>
        <v>472.17159422788467</v>
      </c>
      <c r="R131" s="59">
        <f t="shared" ref="R131:R194" si="109">Q131+(I131+J131)*44/12</f>
        <v>765.50492756121798</v>
      </c>
      <c r="S131" s="59">
        <f ca="1">AVERAGE(OFFSET($R$3,0,0,'Données projet'!$E$9+1,1))-AVERAGE(OFFSET($H$3,0,0,'Données projet'!$E$9+1,1))</f>
        <v>253.73326067725128</v>
      </c>
      <c r="T131" s="59">
        <f t="shared" si="88"/>
        <v>317.76427047458026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19.801026169132825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19.801026169132825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732.99999999999966</v>
      </c>
      <c r="AJ131" s="13">
        <f>AI131*VLOOKUP('Données projet'!$B$10,Paramètres!$A$1:$I$89,3,0)*VLOOKUP('Données projet'!$B$10,Paramètres!$A$1:$I$89,5,0)</f>
        <v>352.57299999999987</v>
      </c>
      <c r="AK131" s="13">
        <f t="shared" si="89"/>
        <v>82.092092597941644</v>
      </c>
      <c r="AL131" s="20">
        <f t="shared" si="58"/>
        <v>757.04170294141477</v>
      </c>
      <c r="AM131" s="59">
        <f t="shared" si="59"/>
        <v>1050.375036274748</v>
      </c>
      <c r="AN131" s="59">
        <f ca="1">AVERAGE(OFFSET($AM$3,0,0,'Données projet'!$E$10+1,1))-AVERAGE(OFFSET($H$3,0,0,'Données projet'!$E$10+1,1))</f>
        <v>349.65790906807746</v>
      </c>
      <c r="AO131" s="59">
        <f t="shared" si="90"/>
        <v>291.88925884278888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48.896709049207011</v>
      </c>
      <c r="AV131" s="21">
        <f>EXP(-LN(2)/25)*AV130+(1-EXP(-LN(2)/25))/(LN(2)/25)*Calculateur!AQ131*Calculateur!AS131*VLOOKUP('Données projet'!$B$10,Paramètres!$A$1:$I$89,3,0)*0.475*44/12</f>
        <v>2.7214175604302078</v>
      </c>
      <c r="AW131" s="21">
        <f>EXP(-LN(2)/2)*AW130+(1-EXP(-LN(2)/2))/(LN(2)/2)*AQ131*AT131*VLOOKUP('Données projet'!$B$10,Paramètres!$A$1:$I$89,3,0)*0.475*44/12</f>
        <v>9.0694740902435623E-17</v>
      </c>
      <c r="AX131" s="21">
        <f t="shared" si="60"/>
        <v>51.618126609637216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319</v>
      </c>
      <c r="BE131" s="13">
        <f>BD131*VLOOKUP('Données projet'!$B$11,Paramètres!$A$1:$I$89,3,0)*VLOOKUP('Données projet'!$B$11,Paramètres!$A$1:$I$89,5,0)</f>
        <v>253.79640000000001</v>
      </c>
      <c r="BF131" s="13">
        <f t="shared" si="91"/>
        <v>61.39816832228076</v>
      </c>
      <c r="BG131" s="20">
        <f t="shared" si="61"/>
        <v>548.96387316130563</v>
      </c>
      <c r="BH131" s="59">
        <f t="shared" si="62"/>
        <v>842.29720649463889</v>
      </c>
      <c r="BI131" s="59">
        <f ca="1">AVERAGE(OFFSET($BH$3,0,0,'Données projet'!$E$11+1,1))-AVERAGE(OFFSET($H$3,0,0,'Données projet'!$E$11+1,1))</f>
        <v>279.49721661620544</v>
      </c>
      <c r="BJ131" s="59">
        <f t="shared" si="92"/>
        <v>275.18739333988754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20.549966970654904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20.549966970654904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266.99999999999983</v>
      </c>
      <c r="BZ131" s="13">
        <f>BY131*VLOOKUP('Données projet'!$B$12,Paramètres!$A$1:$I$89,3,0)*VLOOKUP('Données projet'!$B$12,Paramètres!$A$1:$I$89,5,0)</f>
        <v>258.24239999999986</v>
      </c>
      <c r="CA131" s="13">
        <f t="shared" si="93"/>
        <v>62.347580891234152</v>
      </c>
      <c r="CB131" s="20">
        <f t="shared" si="64"/>
        <v>558.3608833855659</v>
      </c>
      <c r="CC131" s="59">
        <f t="shared" si="65"/>
        <v>851.69421671889927</v>
      </c>
      <c r="CD131" s="59">
        <f ca="1">AVERAGE(OFFSET($CC$3,0,0,'Données projet'!$E$12+1,1))-AVERAGE(OFFSET($H$3,0,0,'Données projet'!$E$12+1,1))</f>
        <v>281.84871057356037</v>
      </c>
      <c r="CE131" s="59">
        <f t="shared" si="94"/>
        <v>276.02211904126887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16.539803708475269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16.539803708475269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319</v>
      </c>
      <c r="CU131" s="17">
        <f>CT131*VLOOKUP('Données projet'!$B$13,Paramètres!$A$1:$I$89,3,0)*VLOOKUP('Données projet'!$B$13,Paramètres!$A$1:$I$89,5,0)</f>
        <v>253.79640000000001</v>
      </c>
      <c r="CV131" s="13">
        <f t="shared" si="95"/>
        <v>61.39816832228076</v>
      </c>
      <c r="CW131" s="20">
        <f t="shared" si="67"/>
        <v>548.96387316130563</v>
      </c>
      <c r="CX131" s="59">
        <f t="shared" si="68"/>
        <v>842.29720649463889</v>
      </c>
      <c r="CY131" s="59">
        <f ca="1">AVERAGE(OFFSET($CX$3,0,0,'Données projet'!$E$13+1,1))-AVERAGE(OFFSET($H$3,0,0,'Données projet'!$E$13+1,1))</f>
        <v>279.49721661620544</v>
      </c>
      <c r="CZ131" s="59">
        <f t="shared" si="96"/>
        <v>275.18739333988754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20.549966970654904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20.549966970654904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267</v>
      </c>
      <c r="DP131" s="17">
        <f>DO131*VLOOKUP('Données projet'!$B$14,Paramètres!$A$1:$I$89,3,0)*VLOOKUP('Données projet'!$B$14,Paramètres!$A$1:$I$89,5,0)</f>
        <v>270.738</v>
      </c>
      <c r="DQ131" s="13">
        <f t="shared" si="97"/>
        <v>65.005866623551711</v>
      </c>
      <c r="DR131" s="20">
        <f t="shared" si="70"/>
        <v>584.7539010360191</v>
      </c>
      <c r="DS131" s="59">
        <f t="shared" si="71"/>
        <v>878.08723436935247</v>
      </c>
      <c r="DT131" s="59">
        <f ca="1">AVERAGE(OFFSET($DS$3,0,0,'Données projet'!$E$14+1,1))-AVERAGE(OFFSET($H$3,0,0,'Données projet'!$E$14+1,1))</f>
        <v>308.80022073574963</v>
      </c>
      <c r="DU131" s="59">
        <f t="shared" si="98"/>
        <v>183.96267407004115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65.481435204721819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65.481435204721819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266.99999999999983</v>
      </c>
      <c r="EK131" s="17">
        <f>EJ131*VLOOKUP('Données projet'!$B$15,Paramètres!$A$1:$I$89,3,0)*VLOOKUP('Données projet'!$B$15,Paramètres!$A$1:$I$89,5,0)</f>
        <v>174.93839999999989</v>
      </c>
      <c r="EL131" s="13">
        <f t="shared" si="99"/>
        <v>44.194210865203175</v>
      </c>
      <c r="EM131" s="20">
        <f t="shared" si="73"/>
        <v>381.65596392356196</v>
      </c>
      <c r="EN131" s="59">
        <f t="shared" si="74"/>
        <v>674.98929725689527</v>
      </c>
      <c r="EO131" s="59">
        <f ca="1">AVERAGE(OFFSET($EN$3,0,0,'Données projet'!$E$15+1,1))-AVERAGE(OFFSET($H$3,0,0,'Données projet'!$E$15+1,1))</f>
        <v>178.71569711875242</v>
      </c>
      <c r="EP131" s="59">
        <f t="shared" si="100"/>
        <v>178.13848582064168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11.204383157354211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11.204383157354211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267</v>
      </c>
      <c r="FF131" s="17">
        <f>FE131*VLOOKUP('Données projet'!$B$16,Paramètres!$A$1:$I$89,3,0)*VLOOKUP('Données projet'!$B$16,Paramètres!$A$1:$I$89,5,0)</f>
        <v>224.92080000000001</v>
      </c>
      <c r="FG131" s="13">
        <f t="shared" si="101"/>
        <v>55.1830164775604</v>
      </c>
      <c r="FH131" s="20">
        <f t="shared" si="76"/>
        <v>487.84748036508444</v>
      </c>
      <c r="FI131" s="59">
        <f t="shared" si="77"/>
        <v>781.18081369841775</v>
      </c>
      <c r="FJ131" s="59">
        <f ca="1">AVERAGE(OFFSET($FI$3,0,0,'Données projet'!$E$16+1,1))-AVERAGE(OFFSET($H$3,0,0,'Données projet'!$E$16+1,1))</f>
        <v>247.22536892257716</v>
      </c>
      <c r="FK131" s="59">
        <f t="shared" si="102"/>
        <v>147.97952262756075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54.399961554691977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54.399961554691977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6">
        <f t="shared" ref="H132:H195" si="110">(B132+E132+F132)*44/12+(C132+D132)*0.475*44/12</f>
        <v>432.20391229584436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249.0000000000002</v>
      </c>
      <c r="O132" s="13">
        <f>N132*VLOOKUP('Données projet'!$B$9,Paramètres!$A$1:$I$89,3,0)*VLOOKUP('Données projet'!$B$9,Paramètres!$A$1:$I$89,5,0)</f>
        <v>217.52640000000019</v>
      </c>
      <c r="P132" s="13">
        <f t="shared" si="87"/>
        <v>53.576907690651304</v>
      </c>
      <c r="Q132" s="20">
        <f t="shared" si="108"/>
        <v>472.17159422788467</v>
      </c>
      <c r="R132" s="59">
        <f t="shared" si="109"/>
        <v>765.50492756121798</v>
      </c>
      <c r="S132" s="59">
        <f ca="1">AVERAGE(OFFSET($R$3,0,0,'Données projet'!$E$9+1,1))-AVERAGE(OFFSET($H$3,0,0,'Données projet'!$E$9+1,1))</f>
        <v>253.73326067725128</v>
      </c>
      <c r="T132" s="59">
        <f t="shared" si="88"/>
        <v>317.76427047458026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19.412740123389547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19.412740123389547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732.99999999999966</v>
      </c>
      <c r="AJ132" s="13">
        <f>AI132*VLOOKUP('Données projet'!$B$10,Paramètres!$A$1:$I$89,3,0)*VLOOKUP('Données projet'!$B$10,Paramètres!$A$1:$I$89,5,0)</f>
        <v>352.57299999999987</v>
      </c>
      <c r="AK132" s="13">
        <f t="shared" si="89"/>
        <v>82.092092597941644</v>
      </c>
      <c r="AL132" s="20">
        <f t="shared" ref="AL132:AL153" si="112">(AJ132+AK132)*0.475*44/12</f>
        <v>757.04170294141477</v>
      </c>
      <c r="AM132" s="59">
        <f t="shared" ref="AM132:AM195" si="113">AL132+(AD132+AE132)*44/12</f>
        <v>1050.375036274748</v>
      </c>
      <c r="AN132" s="59">
        <f ca="1">AVERAGE(OFFSET($AM$3,0,0,'Données projet'!$E$10+1,1))-AVERAGE(OFFSET($H$3,0,0,'Données projet'!$E$10+1,1))</f>
        <v>349.65790906807746</v>
      </c>
      <c r="AO132" s="59">
        <f t="shared" si="90"/>
        <v>291.88925884278888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47.937874408799701</v>
      </c>
      <c r="AV132" s="21">
        <f>EXP(-LN(2)/25)*AV131+(1-EXP(-LN(2)/25))/(LN(2)/25)*Calculateur!AQ132*Calculateur!AS132*VLOOKUP('Données projet'!$B$10,Paramètres!$A$1:$I$89,3,0)*0.475*44/12</f>
        <v>2.6470002541271143</v>
      </c>
      <c r="AW132" s="21">
        <f>EXP(-LN(2)/2)*AW131+(1-EXP(-LN(2)/2))/(LN(2)/2)*AQ132*AT132*VLOOKUP('Données projet'!$B$10,Paramètres!$A$1:$I$89,3,0)*0.475*44/12</f>
        <v>6.4130866310069168E-17</v>
      </c>
      <c r="AX132" s="21">
        <f t="shared" ref="AX132:AX153" si="114">SUM(AU132:AW132)</f>
        <v>50.584874662926815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319</v>
      </c>
      <c r="BE132" s="13">
        <f>BD132*VLOOKUP('Données projet'!$B$11,Paramètres!$A$1:$I$89,3,0)*VLOOKUP('Données projet'!$B$11,Paramètres!$A$1:$I$89,5,0)</f>
        <v>253.79640000000001</v>
      </c>
      <c r="BF132" s="13">
        <f t="shared" si="91"/>
        <v>61.39816832228076</v>
      </c>
      <c r="BG132" s="20">
        <f t="shared" ref="BG132:BG153" si="115">(BE132+BF132)*0.475*44/12</f>
        <v>548.96387316130563</v>
      </c>
      <c r="BH132" s="59">
        <f t="shared" ref="BH132:BH195" si="116">BG132+(AY132+AZ132)*44/12</f>
        <v>842.29720649463889</v>
      </c>
      <c r="BI132" s="59">
        <f ca="1">AVERAGE(OFFSET($BH$3,0,0,'Données projet'!$E$11+1,1))-AVERAGE(OFFSET($H$3,0,0,'Données projet'!$E$11+1,1))</f>
        <v>279.49721661620544</v>
      </c>
      <c r="BJ132" s="59">
        <f t="shared" si="92"/>
        <v>275.18739333988754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20.146994652602558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20.146994652602558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266.99999999999983</v>
      </c>
      <c r="BZ132" s="13">
        <f>BY132*VLOOKUP('Données projet'!$B$12,Paramètres!$A$1:$I$89,3,0)*VLOOKUP('Données projet'!$B$12,Paramètres!$A$1:$I$89,5,0)</f>
        <v>258.24239999999986</v>
      </c>
      <c r="CA132" s="13">
        <f t="shared" si="93"/>
        <v>62.347580891234152</v>
      </c>
      <c r="CB132" s="20">
        <f t="shared" ref="CB132:CB153" si="118">(BZ132+CA132)*0.475*44/12</f>
        <v>558.3608833855659</v>
      </c>
      <c r="CC132" s="59">
        <f t="shared" ref="CC132:CC195" si="119">CB132+(BT132+BU132)*44/12</f>
        <v>851.69421671889927</v>
      </c>
      <c r="CD132" s="59">
        <f ca="1">AVERAGE(OFFSET($CC$3,0,0,'Données projet'!$E$12+1,1))-AVERAGE(OFFSET($H$3,0,0,'Données projet'!$E$12+1,1))</f>
        <v>281.84871057356037</v>
      </c>
      <c r="CE132" s="59">
        <f t="shared" si="94"/>
        <v>276.02211904126887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16.215468246036195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16.215468246036195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319</v>
      </c>
      <c r="CU132" s="17">
        <f>CT132*VLOOKUP('Données projet'!$B$13,Paramètres!$A$1:$I$89,3,0)*VLOOKUP('Données projet'!$B$13,Paramètres!$A$1:$I$89,5,0)</f>
        <v>253.79640000000001</v>
      </c>
      <c r="CV132" s="13">
        <f t="shared" si="95"/>
        <v>61.39816832228076</v>
      </c>
      <c r="CW132" s="20">
        <f t="shared" ref="CW132:CW153" si="121">(CU132+CV132)*0.475*44/12</f>
        <v>548.96387316130563</v>
      </c>
      <c r="CX132" s="59">
        <f t="shared" ref="CX132:CX195" si="122">CW132+(CO132+CP132)*44/12</f>
        <v>842.29720649463889</v>
      </c>
      <c r="CY132" s="59">
        <f ca="1">AVERAGE(OFFSET($CX$3,0,0,'Données projet'!$E$13+1,1))-AVERAGE(OFFSET($H$3,0,0,'Données projet'!$E$13+1,1))</f>
        <v>279.49721661620544</v>
      </c>
      <c r="CZ132" s="59">
        <f t="shared" si="96"/>
        <v>275.18739333988754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20.146994652602558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20.146994652602558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267</v>
      </c>
      <c r="DP132" s="17">
        <f>DO132*VLOOKUP('Données projet'!$B$14,Paramètres!$A$1:$I$89,3,0)*VLOOKUP('Données projet'!$B$14,Paramètres!$A$1:$I$89,5,0)</f>
        <v>270.738</v>
      </c>
      <c r="DQ132" s="13">
        <f t="shared" si="97"/>
        <v>65.005866623551711</v>
      </c>
      <c r="DR132" s="20">
        <f t="shared" ref="DR132:DR153" si="124">(DP132+DQ132)*0.475*44/12</f>
        <v>584.7539010360191</v>
      </c>
      <c r="DS132" s="59">
        <f t="shared" ref="DS132:DS195" si="125">DR132+(DJ132+DK132)*44/12</f>
        <v>878.08723436935247</v>
      </c>
      <c r="DT132" s="59">
        <f ca="1">AVERAGE(OFFSET($DS$3,0,0,'Données projet'!$E$14+1,1))-AVERAGE(OFFSET($H$3,0,0,'Données projet'!$E$14+1,1))</f>
        <v>308.80022073574963</v>
      </c>
      <c r="DU132" s="59">
        <f t="shared" si="98"/>
        <v>183.96267407004115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64.197384200088976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64.197384200088976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266.99999999999983</v>
      </c>
      <c r="EK132" s="17">
        <f>EJ132*VLOOKUP('Données projet'!$B$15,Paramètres!$A$1:$I$89,3,0)*VLOOKUP('Données projet'!$B$15,Paramètres!$A$1:$I$89,5,0)</f>
        <v>174.93839999999989</v>
      </c>
      <c r="EL132" s="13">
        <f t="shared" si="99"/>
        <v>44.194210865203175</v>
      </c>
      <c r="EM132" s="20">
        <f t="shared" ref="EM132:EM153" si="127">(EK132+EL132)*0.475*44/12</f>
        <v>381.65596392356196</v>
      </c>
      <c r="EN132" s="59">
        <f t="shared" ref="EN132:EN195" si="128">EM132+(EE132+EF132)*44/12</f>
        <v>674.98929725689527</v>
      </c>
      <c r="EO132" s="59">
        <f ca="1">AVERAGE(OFFSET($EN$3,0,0,'Données projet'!$E$15+1,1))-AVERAGE(OFFSET($H$3,0,0,'Données projet'!$E$15+1,1))</f>
        <v>178.71569711875242</v>
      </c>
      <c r="EP132" s="59">
        <f t="shared" si="100"/>
        <v>178.13848582064168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10.98467203763742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10.98467203763742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267</v>
      </c>
      <c r="FF132" s="17">
        <f>FE132*VLOOKUP('Données projet'!$B$16,Paramètres!$A$1:$I$89,3,0)*VLOOKUP('Données projet'!$B$16,Paramètres!$A$1:$I$89,5,0)</f>
        <v>224.92080000000001</v>
      </c>
      <c r="FG132" s="13">
        <f t="shared" si="101"/>
        <v>55.1830164775604</v>
      </c>
      <c r="FH132" s="20">
        <f t="shared" ref="FH132:FH153" si="130">(FF132+FG132)*0.475*44/12</f>
        <v>487.84748036508444</v>
      </c>
      <c r="FI132" s="59">
        <f t="shared" ref="FI132:FI195" si="131">FH132+(EZ132+FA132)*44/12</f>
        <v>781.18081369841775</v>
      </c>
      <c r="FJ132" s="59">
        <f ca="1">AVERAGE(OFFSET($FI$3,0,0,'Données projet'!$E$16+1,1))-AVERAGE(OFFSET($H$3,0,0,'Données projet'!$E$16+1,1))</f>
        <v>247.22536892257716</v>
      </c>
      <c r="FK132" s="59">
        <f t="shared" si="102"/>
        <v>147.97952262756075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53.333211489304695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53.333211489304695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6">
        <f t="shared" si="110"/>
        <v>433.25254015257815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249.0000000000002</v>
      </c>
      <c r="O133" s="13">
        <f>N133*VLOOKUP('Données projet'!$B$9,Paramètres!$A$1:$I$89,3,0)*VLOOKUP('Données projet'!$B$9,Paramètres!$A$1:$I$89,5,0)</f>
        <v>217.52640000000019</v>
      </c>
      <c r="P133" s="13">
        <f t="shared" ref="P133:P196" si="141">EXP(-1.0587+0.8836*LN(O133)+0.284)</f>
        <v>53.576907690651304</v>
      </c>
      <c r="Q133" s="20">
        <f t="shared" si="108"/>
        <v>472.17159422788467</v>
      </c>
      <c r="R133" s="59">
        <f t="shared" si="109"/>
        <v>765.50492756121798</v>
      </c>
      <c r="S133" s="59">
        <f ca="1">AVERAGE(OFFSET($R$3,0,0,'Données projet'!$E$9+1,1))-AVERAGE(OFFSET($H$3,0,0,'Données projet'!$E$9+1,1))</f>
        <v>253.73326067725128</v>
      </c>
      <c r="T133" s="59">
        <f t="shared" ref="T133:T196" si="142">$T$3</f>
        <v>317.76427047458026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19.032068130172192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19.032068130172192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732.99999999999966</v>
      </c>
      <c r="AJ133" s="13">
        <f>AI133*VLOOKUP('Données projet'!$B$10,Paramètres!$A$1:$I$89,3,0)*VLOOKUP('Données projet'!$B$10,Paramètres!$A$1:$I$89,5,0)</f>
        <v>352.57299999999987</v>
      </c>
      <c r="AK133" s="13">
        <f t="shared" ref="AK133:AK153" si="143">EXP(-1.0587+0.8836*LN(AJ133)+0.284)</f>
        <v>82.092092597941644</v>
      </c>
      <c r="AL133" s="20">
        <f t="shared" si="112"/>
        <v>757.04170294141477</v>
      </c>
      <c r="AM133" s="59">
        <f t="shared" si="113"/>
        <v>1050.375036274748</v>
      </c>
      <c r="AN133" s="59">
        <f ca="1">AVERAGE(OFFSET($AM$3,0,0,'Données projet'!$E$10+1,1))-AVERAGE(OFFSET($H$3,0,0,'Données projet'!$E$10+1,1))</f>
        <v>349.65790906807746</v>
      </c>
      <c r="AO133" s="59">
        <f t="shared" ref="AO133:AO196" si="144">$AO$3</f>
        <v>291.88925884278888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46.997841930859394</v>
      </c>
      <c r="AV133" s="21">
        <f>EXP(-LN(2)/25)*AV132+(1-EXP(-LN(2)/25))/(LN(2)/25)*Calculateur!AQ133*Calculateur!AS133*VLOOKUP('Données projet'!$B$10,Paramètres!$A$1:$I$89,3,0)*0.475*44/12</f>
        <v>2.5746178929783148</v>
      </c>
      <c r="AW133" s="21">
        <f>EXP(-LN(2)/2)*AW132+(1-EXP(-LN(2)/2))/(LN(2)/2)*AQ133*AT133*VLOOKUP('Données projet'!$B$10,Paramètres!$A$1:$I$89,3,0)*0.475*44/12</f>
        <v>4.5347370451217812E-17</v>
      </c>
      <c r="AX133" s="21">
        <f t="shared" si="114"/>
        <v>49.572459823837711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319</v>
      </c>
      <c r="BE133" s="13">
        <f>BD133*VLOOKUP('Données projet'!$B$11,Paramètres!$A$1:$I$89,3,0)*VLOOKUP('Données projet'!$B$11,Paramètres!$A$1:$I$89,5,0)</f>
        <v>253.79640000000001</v>
      </c>
      <c r="BF133" s="13">
        <f t="shared" ref="BF133:BF153" si="145">EXP(-1.0587+0.8836*LN(BE133)+0.284)</f>
        <v>61.39816832228076</v>
      </c>
      <c r="BG133" s="20">
        <f t="shared" si="115"/>
        <v>548.96387316130563</v>
      </c>
      <c r="BH133" s="59">
        <f t="shared" si="116"/>
        <v>842.29720649463889</v>
      </c>
      <c r="BI133" s="59">
        <f ca="1">AVERAGE(OFFSET($BH$3,0,0,'Données projet'!$E$11+1,1))-AVERAGE(OFFSET($H$3,0,0,'Données projet'!$E$11+1,1))</f>
        <v>279.49721661620544</v>
      </c>
      <c r="BJ133" s="59">
        <f t="shared" ref="BJ133:BJ196" si="146">$BJ$3</f>
        <v>275.18739333988754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19.751924375918374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19.751924375918374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266.99999999999983</v>
      </c>
      <c r="BZ133" s="13">
        <f>BY133*VLOOKUP('Données projet'!$B$12,Paramètres!$A$1:$I$89,3,0)*VLOOKUP('Données projet'!$B$12,Paramètres!$A$1:$I$89,5,0)</f>
        <v>258.24239999999986</v>
      </c>
      <c r="CA133" s="13">
        <f t="shared" ref="CA133:CA153" si="147">EXP(-1.0587+0.8836*LN(BZ133)+0.284)</f>
        <v>62.347580891234152</v>
      </c>
      <c r="CB133" s="20">
        <f t="shared" si="118"/>
        <v>558.3608833855659</v>
      </c>
      <c r="CC133" s="59">
        <f t="shared" si="119"/>
        <v>851.69421671889927</v>
      </c>
      <c r="CD133" s="59">
        <f ca="1">AVERAGE(OFFSET($CC$3,0,0,'Données projet'!$E$12+1,1))-AVERAGE(OFFSET($H$3,0,0,'Données projet'!$E$12+1,1))</f>
        <v>281.84871057356037</v>
      </c>
      <c r="CE133" s="59">
        <f t="shared" ref="CE133:CE196" si="148">$CE$3</f>
        <v>276.02211904126887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15.897492804190454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15.897492804190454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319</v>
      </c>
      <c r="CU133" s="17">
        <f>CT133*VLOOKUP('Données projet'!$B$13,Paramètres!$A$1:$I$89,3,0)*VLOOKUP('Données projet'!$B$13,Paramètres!$A$1:$I$89,5,0)</f>
        <v>253.79640000000001</v>
      </c>
      <c r="CV133" s="13">
        <f t="shared" ref="CV133:CV153" si="149">EXP(-1.0587+0.8836*LN(CU133)+0.284)</f>
        <v>61.39816832228076</v>
      </c>
      <c r="CW133" s="20">
        <f t="shared" si="121"/>
        <v>548.96387316130563</v>
      </c>
      <c r="CX133" s="59">
        <f t="shared" si="122"/>
        <v>842.29720649463889</v>
      </c>
      <c r="CY133" s="59">
        <f ca="1">AVERAGE(OFFSET($CX$3,0,0,'Données projet'!$E$13+1,1))-AVERAGE(OFFSET($H$3,0,0,'Données projet'!$E$13+1,1))</f>
        <v>279.49721661620544</v>
      </c>
      <c r="CZ133" s="59">
        <f t="shared" ref="CZ133:CZ196" si="150">$CZ$3</f>
        <v>275.18739333988754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19.751924375918374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19.751924375918374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267</v>
      </c>
      <c r="DP133" s="17">
        <f>DO133*VLOOKUP('Données projet'!$B$14,Paramètres!$A$1:$I$89,3,0)*VLOOKUP('Données projet'!$B$14,Paramètres!$A$1:$I$89,5,0)</f>
        <v>270.738</v>
      </c>
      <c r="DQ133" s="13">
        <f t="shared" ref="DQ133:DQ153" si="151">EXP(-1.0587+0.8836*LN(DP133)+0.284)</f>
        <v>65.005866623551711</v>
      </c>
      <c r="DR133" s="20">
        <f t="shared" si="124"/>
        <v>584.7539010360191</v>
      </c>
      <c r="DS133" s="59">
        <f t="shared" si="125"/>
        <v>878.08723436935247</v>
      </c>
      <c r="DT133" s="59">
        <f ca="1">AVERAGE(OFFSET($DS$3,0,0,'Données projet'!$E$14+1,1))-AVERAGE(OFFSET($H$3,0,0,'Données projet'!$E$14+1,1))</f>
        <v>308.80022073574963</v>
      </c>
      <c r="DU133" s="59">
        <f t="shared" ref="DU133:DU196" si="152">$DU$3</f>
        <v>183.96267407004115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62.938512652463203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62.938512652463203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266.99999999999983</v>
      </c>
      <c r="EK133" s="17">
        <f>EJ133*VLOOKUP('Données projet'!$B$15,Paramètres!$A$1:$I$89,3,0)*VLOOKUP('Données projet'!$B$15,Paramètres!$A$1:$I$89,5,0)</f>
        <v>174.93839999999989</v>
      </c>
      <c r="EL133" s="13">
        <f t="shared" ref="EL133:EL153" si="153">EXP(-1.0587+0.8836*LN(EK133)+0.284)</f>
        <v>44.194210865203175</v>
      </c>
      <c r="EM133" s="20">
        <f t="shared" si="127"/>
        <v>381.65596392356196</v>
      </c>
      <c r="EN133" s="59">
        <f t="shared" si="128"/>
        <v>674.98929725689527</v>
      </c>
      <c r="EO133" s="59">
        <f ca="1">AVERAGE(OFFSET($EN$3,0,0,'Données projet'!$E$15+1,1))-AVERAGE(OFFSET($H$3,0,0,'Données projet'!$E$15+1,1))</f>
        <v>178.71569711875242</v>
      </c>
      <c r="EP133" s="59">
        <f t="shared" ref="EP133:EP196" si="154">$EP$3</f>
        <v>178.13848582064168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10.769269318967725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10.769269318967725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267</v>
      </c>
      <c r="FF133" s="17">
        <f>FE133*VLOOKUP('Données projet'!$B$16,Paramètres!$A$1:$I$89,3,0)*VLOOKUP('Données projet'!$B$16,Paramètres!$A$1:$I$89,5,0)</f>
        <v>224.92080000000001</v>
      </c>
      <c r="FG133" s="13">
        <f t="shared" ref="FG133:FG153" si="155">EXP(-1.0587+0.8836*LN(FF133)+0.284)</f>
        <v>55.1830164775604</v>
      </c>
      <c r="FH133" s="20">
        <f t="shared" si="130"/>
        <v>487.84748036508444</v>
      </c>
      <c r="FI133" s="59">
        <f t="shared" si="131"/>
        <v>781.18081369841775</v>
      </c>
      <c r="FJ133" s="59">
        <f ca="1">AVERAGE(OFFSET($FI$3,0,0,'Données projet'!$E$16+1,1))-AVERAGE(OFFSET($H$3,0,0,'Données projet'!$E$16+1,1))</f>
        <v>247.22536892257716</v>
      </c>
      <c r="FK133" s="59">
        <f t="shared" ref="FK133:FK196" si="156">$FK$3</f>
        <v>147.97952262756075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52.287379742046362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52.287379742046362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6">
        <f t="shared" si="110"/>
        <v>434.30097926760288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249.0000000000002</v>
      </c>
      <c r="O134" s="13">
        <f>N134*VLOOKUP('Données projet'!$B$9,Paramètres!$A$1:$I$89,3,0)*VLOOKUP('Données projet'!$B$9,Paramètres!$A$1:$I$89,5,0)</f>
        <v>217.52640000000019</v>
      </c>
      <c r="P134" s="13">
        <f t="shared" si="141"/>
        <v>53.576907690651304</v>
      </c>
      <c r="Q134" s="20">
        <f t="shared" si="108"/>
        <v>472.17159422788467</v>
      </c>
      <c r="R134" s="59">
        <f t="shared" si="109"/>
        <v>765.50492756121798</v>
      </c>
      <c r="S134" s="59">
        <f ca="1">AVERAGE(OFFSET($R$3,0,0,'Données projet'!$E$9+1,1))-AVERAGE(OFFSET($H$3,0,0,'Données projet'!$E$9+1,1))</f>
        <v>253.73326067725128</v>
      </c>
      <c r="T134" s="59">
        <f t="shared" si="142"/>
        <v>317.76427047458026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18.658860882554841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18.658860882554841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732.99999999999966</v>
      </c>
      <c r="AJ134" s="13">
        <f>AI134*VLOOKUP('Données projet'!$B$10,Paramètres!$A$1:$I$89,3,0)*VLOOKUP('Données projet'!$B$10,Paramètres!$A$1:$I$89,5,0)</f>
        <v>352.57299999999987</v>
      </c>
      <c r="AK134" s="13">
        <f t="shared" si="143"/>
        <v>82.092092597941644</v>
      </c>
      <c r="AL134" s="20">
        <f t="shared" si="112"/>
        <v>757.04170294141477</v>
      </c>
      <c r="AM134" s="59">
        <f t="shared" si="113"/>
        <v>1050.375036274748</v>
      </c>
      <c r="AN134" s="59">
        <f ca="1">AVERAGE(OFFSET($AM$3,0,0,'Données projet'!$E$10+1,1))-AVERAGE(OFFSET($H$3,0,0,'Données projet'!$E$10+1,1))</f>
        <v>349.65790906807746</v>
      </c>
      <c r="AO134" s="59">
        <f t="shared" si="144"/>
        <v>291.88925884278888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46.076242916448301</v>
      </c>
      <c r="AV134" s="21">
        <f>EXP(-LN(2)/25)*AV133+(1-EXP(-LN(2)/25))/(LN(2)/25)*Calculateur!AQ134*Calculateur!AS134*VLOOKUP('Données projet'!$B$10,Paramètres!$A$1:$I$89,3,0)*0.475*44/12</f>
        <v>2.5042148313015522</v>
      </c>
      <c r="AW134" s="21">
        <f>EXP(-LN(2)/2)*AW133+(1-EXP(-LN(2)/2))/(LN(2)/2)*AQ134*AT134*VLOOKUP('Données projet'!$B$10,Paramètres!$A$1:$I$89,3,0)*0.475*44/12</f>
        <v>3.2065433155034584E-17</v>
      </c>
      <c r="AX134" s="21">
        <f t="shared" si="114"/>
        <v>48.580457747749854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319</v>
      </c>
      <c r="BE134" s="13">
        <f>BD134*VLOOKUP('Données projet'!$B$11,Paramètres!$A$1:$I$89,3,0)*VLOOKUP('Données projet'!$B$11,Paramètres!$A$1:$I$89,5,0)</f>
        <v>253.79640000000001</v>
      </c>
      <c r="BF134" s="13">
        <f t="shared" si="145"/>
        <v>61.39816832228076</v>
      </c>
      <c r="BG134" s="20">
        <f t="shared" si="115"/>
        <v>548.96387316130563</v>
      </c>
      <c r="BH134" s="59">
        <f t="shared" si="116"/>
        <v>842.29720649463889</v>
      </c>
      <c r="BI134" s="59">
        <f ca="1">AVERAGE(OFFSET($BH$3,0,0,'Données projet'!$E$11+1,1))-AVERAGE(OFFSET($H$3,0,0,'Données projet'!$E$11+1,1))</f>
        <v>279.49721661620544</v>
      </c>
      <c r="BJ134" s="59">
        <f t="shared" si="146"/>
        <v>275.18739333988754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19.364601186390892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19.364601186390892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266.99999999999983</v>
      </c>
      <c r="BZ134" s="13">
        <f>BY134*VLOOKUP('Données projet'!$B$12,Paramètres!$A$1:$I$89,3,0)*VLOOKUP('Données projet'!$B$12,Paramètres!$A$1:$I$89,5,0)</f>
        <v>258.24239999999986</v>
      </c>
      <c r="CA134" s="13">
        <f t="shared" si="147"/>
        <v>62.347580891234152</v>
      </c>
      <c r="CB134" s="20">
        <f t="shared" si="118"/>
        <v>558.3608833855659</v>
      </c>
      <c r="CC134" s="59">
        <f t="shared" si="119"/>
        <v>851.69421671889927</v>
      </c>
      <c r="CD134" s="59">
        <f ca="1">AVERAGE(OFFSET($CC$3,0,0,'Données projet'!$E$12+1,1))-AVERAGE(OFFSET($H$3,0,0,'Données projet'!$E$12+1,1))</f>
        <v>281.84871057356037</v>
      </c>
      <c r="CE134" s="59">
        <f t="shared" si="148"/>
        <v>276.02211904126887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15.585752666813439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15.585752666813439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319</v>
      </c>
      <c r="CU134" s="17">
        <f>CT134*VLOOKUP('Données projet'!$B$13,Paramètres!$A$1:$I$89,3,0)*VLOOKUP('Données projet'!$B$13,Paramètres!$A$1:$I$89,5,0)</f>
        <v>253.79640000000001</v>
      </c>
      <c r="CV134" s="13">
        <f t="shared" si="149"/>
        <v>61.39816832228076</v>
      </c>
      <c r="CW134" s="20">
        <f t="shared" si="121"/>
        <v>548.96387316130563</v>
      </c>
      <c r="CX134" s="59">
        <f t="shared" si="122"/>
        <v>842.29720649463889</v>
      </c>
      <c r="CY134" s="59">
        <f ca="1">AVERAGE(OFFSET($CX$3,0,0,'Données projet'!$E$13+1,1))-AVERAGE(OFFSET($H$3,0,0,'Données projet'!$E$13+1,1))</f>
        <v>279.49721661620544</v>
      </c>
      <c r="CZ134" s="59">
        <f t="shared" si="150"/>
        <v>275.18739333988754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19.364601186390892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19.364601186390892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267</v>
      </c>
      <c r="DP134" s="17">
        <f>DO134*VLOOKUP('Données projet'!$B$14,Paramètres!$A$1:$I$89,3,0)*VLOOKUP('Données projet'!$B$14,Paramètres!$A$1:$I$89,5,0)</f>
        <v>270.738</v>
      </c>
      <c r="DQ134" s="13">
        <f t="shared" si="151"/>
        <v>65.005866623551711</v>
      </c>
      <c r="DR134" s="20">
        <f t="shared" si="124"/>
        <v>584.7539010360191</v>
      </c>
      <c r="DS134" s="59">
        <f t="shared" si="125"/>
        <v>878.08723436935247</v>
      </c>
      <c r="DT134" s="59">
        <f ca="1">AVERAGE(OFFSET($DS$3,0,0,'Données projet'!$E$14+1,1))-AVERAGE(OFFSET($H$3,0,0,'Données projet'!$E$14+1,1))</f>
        <v>308.80022073574963</v>
      </c>
      <c r="DU134" s="59">
        <f t="shared" si="152"/>
        <v>183.96267407004115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61.704326808050546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61.704326808050546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266.99999999999983</v>
      </c>
      <c r="EK134" s="17">
        <f>EJ134*VLOOKUP('Données projet'!$B$15,Paramètres!$A$1:$I$89,3,0)*VLOOKUP('Données projet'!$B$15,Paramètres!$A$1:$I$89,5,0)</f>
        <v>174.93839999999989</v>
      </c>
      <c r="EL134" s="13">
        <f t="shared" si="153"/>
        <v>44.194210865203175</v>
      </c>
      <c r="EM134" s="20">
        <f t="shared" si="127"/>
        <v>381.65596392356196</v>
      </c>
      <c r="EN134" s="59">
        <f t="shared" si="128"/>
        <v>674.98929725689527</v>
      </c>
      <c r="EO134" s="59">
        <f ca="1">AVERAGE(OFFSET($EN$3,0,0,'Données projet'!$E$15+1,1))-AVERAGE(OFFSET($H$3,0,0,'Données projet'!$E$15+1,1))</f>
        <v>178.71569711875242</v>
      </c>
      <c r="EP134" s="59">
        <f t="shared" si="154"/>
        <v>178.13848582064168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10.558090516228456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10.558090516228456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267</v>
      </c>
      <c r="FF134" s="17">
        <f>FE134*VLOOKUP('Données projet'!$B$16,Paramètres!$A$1:$I$89,3,0)*VLOOKUP('Données projet'!$B$16,Paramètres!$A$1:$I$89,5,0)</f>
        <v>224.92080000000001</v>
      </c>
      <c r="FG134" s="13">
        <f t="shared" si="155"/>
        <v>55.1830164775604</v>
      </c>
      <c r="FH134" s="20">
        <f t="shared" si="130"/>
        <v>487.84748036508444</v>
      </c>
      <c r="FI134" s="59">
        <f t="shared" si="131"/>
        <v>781.18081369841775</v>
      </c>
      <c r="FJ134" s="59">
        <f ca="1">AVERAGE(OFFSET($FI$3,0,0,'Données projet'!$E$16+1,1))-AVERAGE(OFFSET($H$3,0,0,'Données projet'!$E$16+1,1))</f>
        <v>247.22536892257716</v>
      </c>
      <c r="FK134" s="59">
        <f t="shared" si="156"/>
        <v>147.97952262756075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51.262056117457384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51.262056117457384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6">
        <f t="shared" si="110"/>
        <v>435.34923124871818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249.0000000000002</v>
      </c>
      <c r="O135" s="13">
        <f>N135*VLOOKUP('Données projet'!$B$9,Paramètres!$A$1:$I$89,3,0)*VLOOKUP('Données projet'!$B$9,Paramètres!$A$1:$I$89,5,0)</f>
        <v>217.52640000000019</v>
      </c>
      <c r="P135" s="13">
        <f t="shared" si="141"/>
        <v>53.576907690651304</v>
      </c>
      <c r="Q135" s="20">
        <f t="shared" si="108"/>
        <v>472.17159422788467</v>
      </c>
      <c r="R135" s="59">
        <f t="shared" si="109"/>
        <v>765.50492756121798</v>
      </c>
      <c r="S135" s="59">
        <f ca="1">AVERAGE(OFFSET($R$3,0,0,'Données projet'!$E$9+1,1))-AVERAGE(OFFSET($H$3,0,0,'Données projet'!$E$9+1,1))</f>
        <v>253.73326067725128</v>
      </c>
      <c r="T135" s="59">
        <f t="shared" si="142"/>
        <v>317.76427047458026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18.29297200142932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18.29297200142932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732.99999999999966</v>
      </c>
      <c r="AJ135" s="13">
        <f>AI135*VLOOKUP('Données projet'!$B$10,Paramètres!$A$1:$I$89,3,0)*VLOOKUP('Données projet'!$B$10,Paramètres!$A$1:$I$89,5,0)</f>
        <v>352.57299999999987</v>
      </c>
      <c r="AK135" s="13">
        <f t="shared" si="143"/>
        <v>82.092092597941644</v>
      </c>
      <c r="AL135" s="20">
        <f t="shared" si="112"/>
        <v>757.04170294141477</v>
      </c>
      <c r="AM135" s="59">
        <f t="shared" si="113"/>
        <v>1050.375036274748</v>
      </c>
      <c r="AN135" s="59">
        <f ca="1">AVERAGE(OFFSET($AM$3,0,0,'Données projet'!$E$10+1,1))-AVERAGE(OFFSET($H$3,0,0,'Données projet'!$E$10+1,1))</f>
        <v>349.65790906807746</v>
      </c>
      <c r="AO135" s="59">
        <f t="shared" si="144"/>
        <v>291.88925884278888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45.172715896589914</v>
      </c>
      <c r="AV135" s="21">
        <f>EXP(-LN(2)/25)*AV134+(1-EXP(-LN(2)/25))/(LN(2)/25)*Calculateur!AQ135*Calculateur!AS135*VLOOKUP('Données projet'!$B$10,Paramètres!$A$1:$I$89,3,0)*0.475*44/12</f>
        <v>2.4357369450486765</v>
      </c>
      <c r="AW135" s="21">
        <f>EXP(-LN(2)/2)*AW134+(1-EXP(-LN(2)/2))/(LN(2)/2)*AQ135*AT135*VLOOKUP('Données projet'!$B$10,Paramètres!$A$1:$I$89,3,0)*0.475*44/12</f>
        <v>2.2673685225608906E-17</v>
      </c>
      <c r="AX135" s="21">
        <f t="shared" si="114"/>
        <v>47.608452841638588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319</v>
      </c>
      <c r="BE135" s="13">
        <f>BD135*VLOOKUP('Données projet'!$B$11,Paramètres!$A$1:$I$89,3,0)*VLOOKUP('Données projet'!$B$11,Paramètres!$A$1:$I$89,5,0)</f>
        <v>253.79640000000001</v>
      </c>
      <c r="BF135" s="13">
        <f t="shared" si="145"/>
        <v>61.39816832228076</v>
      </c>
      <c r="BG135" s="20">
        <f t="shared" si="115"/>
        <v>548.96387316130563</v>
      </c>
      <c r="BH135" s="59">
        <f t="shared" si="116"/>
        <v>842.29720649463889</v>
      </c>
      <c r="BI135" s="59">
        <f ca="1">AVERAGE(OFFSET($BH$3,0,0,'Données projet'!$E$11+1,1))-AVERAGE(OFFSET($H$3,0,0,'Données projet'!$E$11+1,1))</f>
        <v>279.49721661620544</v>
      </c>
      <c r="BJ135" s="59">
        <f t="shared" si="146"/>
        <v>275.18739333988754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18.984873168366228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18.984873168366228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266.99999999999983</v>
      </c>
      <c r="BZ135" s="13">
        <f>BY135*VLOOKUP('Données projet'!$B$12,Paramètres!$A$1:$I$89,3,0)*VLOOKUP('Données projet'!$B$12,Paramètres!$A$1:$I$89,5,0)</f>
        <v>258.24239999999986</v>
      </c>
      <c r="CA135" s="13">
        <f t="shared" si="147"/>
        <v>62.347580891234152</v>
      </c>
      <c r="CB135" s="20">
        <f t="shared" si="118"/>
        <v>558.3608833855659</v>
      </c>
      <c r="CC135" s="59">
        <f t="shared" si="119"/>
        <v>851.69421671889927</v>
      </c>
      <c r="CD135" s="59">
        <f ca="1">AVERAGE(OFFSET($CC$3,0,0,'Données projet'!$E$12+1,1))-AVERAGE(OFFSET($H$3,0,0,'Données projet'!$E$12+1,1))</f>
        <v>281.84871057356037</v>
      </c>
      <c r="CE135" s="59">
        <f t="shared" si="148"/>
        <v>276.02211904126887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15.280125563387678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15.280125563387678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319</v>
      </c>
      <c r="CU135" s="17">
        <f>CT135*VLOOKUP('Données projet'!$B$13,Paramètres!$A$1:$I$89,3,0)*VLOOKUP('Données projet'!$B$13,Paramètres!$A$1:$I$89,5,0)</f>
        <v>253.79640000000001</v>
      </c>
      <c r="CV135" s="13">
        <f t="shared" si="149"/>
        <v>61.39816832228076</v>
      </c>
      <c r="CW135" s="20">
        <f t="shared" si="121"/>
        <v>548.96387316130563</v>
      </c>
      <c r="CX135" s="59">
        <f t="shared" si="122"/>
        <v>842.29720649463889</v>
      </c>
      <c r="CY135" s="59">
        <f ca="1">AVERAGE(OFFSET($CX$3,0,0,'Données projet'!$E$13+1,1))-AVERAGE(OFFSET($H$3,0,0,'Données projet'!$E$13+1,1))</f>
        <v>279.49721661620544</v>
      </c>
      <c r="CZ135" s="59">
        <f t="shared" si="150"/>
        <v>275.18739333988754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18.984873168366228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18.984873168366228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267</v>
      </c>
      <c r="DP135" s="17">
        <f>DO135*VLOOKUP('Données projet'!$B$14,Paramètres!$A$1:$I$89,3,0)*VLOOKUP('Données projet'!$B$14,Paramètres!$A$1:$I$89,5,0)</f>
        <v>270.738</v>
      </c>
      <c r="DQ135" s="13">
        <f t="shared" si="151"/>
        <v>65.005866623551711</v>
      </c>
      <c r="DR135" s="20">
        <f t="shared" si="124"/>
        <v>584.7539010360191</v>
      </c>
      <c r="DS135" s="59">
        <f t="shared" si="125"/>
        <v>878.08723436935247</v>
      </c>
      <c r="DT135" s="59">
        <f ca="1">AVERAGE(OFFSET($DS$3,0,0,'Données projet'!$E$14+1,1))-AVERAGE(OFFSET($H$3,0,0,'Données projet'!$E$14+1,1))</f>
        <v>308.80022073574963</v>
      </c>
      <c r="DU135" s="59">
        <f t="shared" si="152"/>
        <v>183.96267407004115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60.494342595267788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60.494342595267788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266.99999999999983</v>
      </c>
      <c r="EK135" s="17">
        <f>EJ135*VLOOKUP('Données projet'!$B$15,Paramètres!$A$1:$I$89,3,0)*VLOOKUP('Données projet'!$B$15,Paramètres!$A$1:$I$89,5,0)</f>
        <v>174.93839999999989</v>
      </c>
      <c r="EL135" s="13">
        <f t="shared" si="153"/>
        <v>44.194210865203175</v>
      </c>
      <c r="EM135" s="20">
        <f t="shared" si="127"/>
        <v>381.65596392356196</v>
      </c>
      <c r="EN135" s="59">
        <f t="shared" si="128"/>
        <v>674.98929725689527</v>
      </c>
      <c r="EO135" s="59">
        <f ca="1">AVERAGE(OFFSET($EN$3,0,0,'Données projet'!$E$15+1,1))-AVERAGE(OFFSET($H$3,0,0,'Données projet'!$E$15+1,1))</f>
        <v>178.71569711875242</v>
      </c>
      <c r="EP135" s="59">
        <f t="shared" si="154"/>
        <v>178.13848582064168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10.351052801004553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10.351052801004553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267</v>
      </c>
      <c r="FF135" s="17">
        <f>FE135*VLOOKUP('Données projet'!$B$16,Paramètres!$A$1:$I$89,3,0)*VLOOKUP('Données projet'!$B$16,Paramètres!$A$1:$I$89,5,0)</f>
        <v>224.92080000000001</v>
      </c>
      <c r="FG135" s="13">
        <f t="shared" si="155"/>
        <v>55.1830164775604</v>
      </c>
      <c r="FH135" s="20">
        <f t="shared" si="130"/>
        <v>487.84748036508444</v>
      </c>
      <c r="FI135" s="59">
        <f t="shared" si="131"/>
        <v>781.18081369841775</v>
      </c>
      <c r="FJ135" s="59">
        <f ca="1">AVERAGE(OFFSET($FI$3,0,0,'Données projet'!$E$16+1,1))-AVERAGE(OFFSET($H$3,0,0,'Données projet'!$E$16+1,1))</f>
        <v>247.22536892257716</v>
      </c>
      <c r="FK135" s="59">
        <f t="shared" si="156"/>
        <v>147.97952262756075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50.256838463760943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50.256838463760943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6">
        <f t="shared" si="110"/>
        <v>436.39729767795615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249.0000000000002</v>
      </c>
      <c r="O136" s="13">
        <f>N136*VLOOKUP('Données projet'!$B$9,Paramètres!$A$1:$I$89,3,0)*VLOOKUP('Données projet'!$B$9,Paramètres!$A$1:$I$89,5,0)</f>
        <v>217.52640000000019</v>
      </c>
      <c r="P136" s="13">
        <f t="shared" si="141"/>
        <v>53.576907690651304</v>
      </c>
      <c r="Q136" s="20">
        <f t="shared" si="108"/>
        <v>472.17159422788467</v>
      </c>
      <c r="R136" s="59">
        <f t="shared" si="109"/>
        <v>765.50492756121798</v>
      </c>
      <c r="S136" s="59">
        <f ca="1">AVERAGE(OFFSET($R$3,0,0,'Données projet'!$E$9+1,1))-AVERAGE(OFFSET($H$3,0,0,'Données projet'!$E$9+1,1))</f>
        <v>253.73326067725128</v>
      </c>
      <c r="T136" s="59">
        <f t="shared" si="142"/>
        <v>317.76427047458026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17.934257978092489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17.934257978092489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732.99999999999966</v>
      </c>
      <c r="AJ136" s="13">
        <f>AI136*VLOOKUP('Données projet'!$B$10,Paramètres!$A$1:$I$89,3,0)*VLOOKUP('Données projet'!$B$10,Paramètres!$A$1:$I$89,5,0)</f>
        <v>352.57299999999987</v>
      </c>
      <c r="AK136" s="13">
        <f t="shared" si="143"/>
        <v>82.092092597941644</v>
      </c>
      <c r="AL136" s="20">
        <f t="shared" si="112"/>
        <v>757.04170294141477</v>
      </c>
      <c r="AM136" s="59">
        <f t="shared" si="113"/>
        <v>1050.375036274748</v>
      </c>
      <c r="AN136" s="59">
        <f ca="1">AVERAGE(OFFSET($AM$3,0,0,'Données projet'!$E$10+1,1))-AVERAGE(OFFSET($H$3,0,0,'Données projet'!$E$10+1,1))</f>
        <v>349.65790906807746</v>
      </c>
      <c r="AO136" s="59">
        <f t="shared" si="144"/>
        <v>291.88925884278888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44.286906490493884</v>
      </c>
      <c r="AV136" s="21">
        <f>EXP(-LN(2)/25)*AV135+(1-EXP(-LN(2)/25))/(LN(2)/25)*Calculateur!AQ136*Calculateur!AS136*VLOOKUP('Données projet'!$B$10,Paramètres!$A$1:$I$89,3,0)*0.475*44/12</f>
        <v>2.3691315901964813</v>
      </c>
      <c r="AW136" s="21">
        <f>EXP(-LN(2)/2)*AW135+(1-EXP(-LN(2)/2))/(LN(2)/2)*AQ136*AT136*VLOOKUP('Données projet'!$B$10,Paramètres!$A$1:$I$89,3,0)*0.475*44/12</f>
        <v>1.6032716577517292E-17</v>
      </c>
      <c r="AX136" s="21">
        <f t="shared" si="114"/>
        <v>46.656038080690365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319</v>
      </c>
      <c r="BE136" s="13">
        <f>BD136*VLOOKUP('Données projet'!$B$11,Paramètres!$A$1:$I$89,3,0)*VLOOKUP('Données projet'!$B$11,Paramètres!$A$1:$I$89,5,0)</f>
        <v>253.79640000000001</v>
      </c>
      <c r="BF136" s="13">
        <f t="shared" si="145"/>
        <v>61.39816832228076</v>
      </c>
      <c r="BG136" s="20">
        <f t="shared" si="115"/>
        <v>548.96387316130563</v>
      </c>
      <c r="BH136" s="59">
        <f t="shared" si="116"/>
        <v>842.29720649463889</v>
      </c>
      <c r="BI136" s="59">
        <f ca="1">AVERAGE(OFFSET($BH$3,0,0,'Données projet'!$E$11+1,1))-AVERAGE(OFFSET($H$3,0,0,'Données projet'!$E$11+1,1))</f>
        <v>279.49721661620544</v>
      </c>
      <c r="BJ136" s="59">
        <f t="shared" si="146"/>
        <v>275.18739333988754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18.612591385163807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18.612591385163807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266.99999999999983</v>
      </c>
      <c r="BZ136" s="13">
        <f>BY136*VLOOKUP('Données projet'!$B$12,Paramètres!$A$1:$I$89,3,0)*VLOOKUP('Données projet'!$B$12,Paramètres!$A$1:$I$89,5,0)</f>
        <v>258.24239999999986</v>
      </c>
      <c r="CA136" s="13">
        <f t="shared" si="147"/>
        <v>62.347580891234152</v>
      </c>
      <c r="CB136" s="20">
        <f t="shared" si="118"/>
        <v>558.3608833855659</v>
      </c>
      <c r="CC136" s="59">
        <f t="shared" si="119"/>
        <v>851.69421671889927</v>
      </c>
      <c r="CD136" s="59">
        <f ca="1">AVERAGE(OFFSET($CC$3,0,0,'Données projet'!$E$12+1,1))-AVERAGE(OFFSET($H$3,0,0,'Données projet'!$E$12+1,1))</f>
        <v>281.84871057356037</v>
      </c>
      <c r="CE136" s="59">
        <f t="shared" si="148"/>
        <v>276.02211904126887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14.980491621045969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14.980491621045969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319</v>
      </c>
      <c r="CU136" s="17">
        <f>CT136*VLOOKUP('Données projet'!$B$13,Paramètres!$A$1:$I$89,3,0)*VLOOKUP('Données projet'!$B$13,Paramètres!$A$1:$I$89,5,0)</f>
        <v>253.79640000000001</v>
      </c>
      <c r="CV136" s="13">
        <f t="shared" si="149"/>
        <v>61.39816832228076</v>
      </c>
      <c r="CW136" s="20">
        <f t="shared" si="121"/>
        <v>548.96387316130563</v>
      </c>
      <c r="CX136" s="59">
        <f t="shared" si="122"/>
        <v>842.29720649463889</v>
      </c>
      <c r="CY136" s="59">
        <f ca="1">AVERAGE(OFFSET($CX$3,0,0,'Données projet'!$E$13+1,1))-AVERAGE(OFFSET($H$3,0,0,'Données projet'!$E$13+1,1))</f>
        <v>279.49721661620544</v>
      </c>
      <c r="CZ136" s="59">
        <f t="shared" si="150"/>
        <v>275.18739333988754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18.612591385163807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18.612591385163807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267</v>
      </c>
      <c r="DP136" s="17">
        <f>DO136*VLOOKUP('Données projet'!$B$14,Paramètres!$A$1:$I$89,3,0)*VLOOKUP('Données projet'!$B$14,Paramètres!$A$1:$I$89,5,0)</f>
        <v>270.738</v>
      </c>
      <c r="DQ136" s="13">
        <f t="shared" si="151"/>
        <v>65.005866623551711</v>
      </c>
      <c r="DR136" s="20">
        <f t="shared" si="124"/>
        <v>584.7539010360191</v>
      </c>
      <c r="DS136" s="59">
        <f t="shared" si="125"/>
        <v>878.08723436935247</v>
      </c>
      <c r="DT136" s="59">
        <f ca="1">AVERAGE(OFFSET($DS$3,0,0,'Données projet'!$E$14+1,1))-AVERAGE(OFFSET($H$3,0,0,'Données projet'!$E$14+1,1))</f>
        <v>308.80022073574963</v>
      </c>
      <c r="DU136" s="59">
        <f t="shared" si="152"/>
        <v>183.96267407004115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59.308085434880205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59.308085434880205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266.99999999999983</v>
      </c>
      <c r="EK136" s="17">
        <f>EJ136*VLOOKUP('Données projet'!$B$15,Paramètres!$A$1:$I$89,3,0)*VLOOKUP('Données projet'!$B$15,Paramètres!$A$1:$I$89,5,0)</f>
        <v>174.93839999999989</v>
      </c>
      <c r="EL136" s="13">
        <f t="shared" si="153"/>
        <v>44.194210865203175</v>
      </c>
      <c r="EM136" s="20">
        <f t="shared" si="127"/>
        <v>381.65596392356196</v>
      </c>
      <c r="EN136" s="59">
        <f t="shared" si="128"/>
        <v>674.98929725689527</v>
      </c>
      <c r="EO136" s="59">
        <f ca="1">AVERAGE(OFFSET($EN$3,0,0,'Données projet'!$E$15+1,1))-AVERAGE(OFFSET($H$3,0,0,'Données projet'!$E$15+1,1))</f>
        <v>178.71569711875242</v>
      </c>
      <c r="EP136" s="59">
        <f t="shared" si="154"/>
        <v>178.13848582064168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10.148074969095653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10.148074969095653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267</v>
      </c>
      <c r="FF136" s="17">
        <f>FE136*VLOOKUP('Données projet'!$B$16,Paramètres!$A$1:$I$89,3,0)*VLOOKUP('Données projet'!$B$16,Paramètres!$A$1:$I$89,5,0)</f>
        <v>224.92080000000001</v>
      </c>
      <c r="FG136" s="13">
        <f t="shared" si="155"/>
        <v>55.1830164775604</v>
      </c>
      <c r="FH136" s="20">
        <f t="shared" si="130"/>
        <v>487.84748036508444</v>
      </c>
      <c r="FI136" s="59">
        <f t="shared" si="131"/>
        <v>781.18081369841775</v>
      </c>
      <c r="FJ136" s="59">
        <f ca="1">AVERAGE(OFFSET($FI$3,0,0,'Données projet'!$E$16+1,1))-AVERAGE(OFFSET($H$3,0,0,'Données projet'!$E$16+1,1))</f>
        <v>247.22536892257716</v>
      </c>
      <c r="FK136" s="59">
        <f t="shared" si="156"/>
        <v>147.97952262756075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49.271332515131256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49.271332515131256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6">
        <f t="shared" si="110"/>
        <v>437.4451801121844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249.0000000000002</v>
      </c>
      <c r="O137" s="13">
        <f>N137*VLOOKUP('Données projet'!$B$9,Paramètres!$A$1:$I$89,3,0)*VLOOKUP('Données projet'!$B$9,Paramètres!$A$1:$I$89,5,0)</f>
        <v>217.52640000000019</v>
      </c>
      <c r="P137" s="13">
        <f t="shared" si="141"/>
        <v>53.576907690651304</v>
      </c>
      <c r="Q137" s="20">
        <f t="shared" si="108"/>
        <v>472.17159422788467</v>
      </c>
      <c r="R137" s="59">
        <f t="shared" si="109"/>
        <v>765.50492756121798</v>
      </c>
      <c r="S137" s="59">
        <f ca="1">AVERAGE(OFFSET($R$3,0,0,'Données projet'!$E$9+1,1))-AVERAGE(OFFSET($H$3,0,0,'Données projet'!$E$9+1,1))</f>
        <v>253.73326067725128</v>
      </c>
      <c r="T137" s="59">
        <f t="shared" si="142"/>
        <v>317.76427047458026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17.582578117959343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17.582578117959343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732.99999999999966</v>
      </c>
      <c r="AJ137" s="13">
        <f>AI137*VLOOKUP('Données projet'!$B$10,Paramètres!$A$1:$I$89,3,0)*VLOOKUP('Données projet'!$B$10,Paramètres!$A$1:$I$89,5,0)</f>
        <v>352.57299999999987</v>
      </c>
      <c r="AK137" s="13">
        <f t="shared" si="143"/>
        <v>82.092092597941644</v>
      </c>
      <c r="AL137" s="20">
        <f t="shared" si="112"/>
        <v>757.04170294141477</v>
      </c>
      <c r="AM137" s="59">
        <f t="shared" si="113"/>
        <v>1050.375036274748</v>
      </c>
      <c r="AN137" s="59">
        <f ca="1">AVERAGE(OFFSET($AM$3,0,0,'Données projet'!$E$10+1,1))-AVERAGE(OFFSET($H$3,0,0,'Données projet'!$E$10+1,1))</f>
        <v>349.65790906807746</v>
      </c>
      <c r="AO137" s="59">
        <f t="shared" si="144"/>
        <v>291.88925884278888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43.418467266561009</v>
      </c>
      <c r="AV137" s="21">
        <f>EXP(-LN(2)/25)*AV136+(1-EXP(-LN(2)/25))/(LN(2)/25)*Calculateur!AQ137*Calculateur!AS137*VLOOKUP('Données projet'!$B$10,Paramètres!$A$1:$I$89,3,0)*0.475*44/12</f>
        <v>2.3043475622753431</v>
      </c>
      <c r="AW137" s="21">
        <f>EXP(-LN(2)/2)*AW136+(1-EXP(-LN(2)/2))/(LN(2)/2)*AQ137*AT137*VLOOKUP('Données projet'!$B$10,Paramètres!$A$1:$I$89,3,0)*0.475*44/12</f>
        <v>1.1336842612804453E-17</v>
      </c>
      <c r="AX137" s="21">
        <f t="shared" si="114"/>
        <v>45.722814828836356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319</v>
      </c>
      <c r="BE137" s="13">
        <f>BD137*VLOOKUP('Données projet'!$B$11,Paramètres!$A$1:$I$89,3,0)*VLOOKUP('Données projet'!$B$11,Paramètres!$A$1:$I$89,5,0)</f>
        <v>253.79640000000001</v>
      </c>
      <c r="BF137" s="13">
        <f t="shared" si="145"/>
        <v>61.39816832228076</v>
      </c>
      <c r="BG137" s="20">
        <f t="shared" si="115"/>
        <v>548.96387316130563</v>
      </c>
      <c r="BH137" s="59">
        <f t="shared" si="116"/>
        <v>842.29720649463889</v>
      </c>
      <c r="BI137" s="59">
        <f ca="1">AVERAGE(OFFSET($BH$3,0,0,'Données projet'!$E$11+1,1))-AVERAGE(OFFSET($H$3,0,0,'Données projet'!$E$11+1,1))</f>
        <v>279.49721661620544</v>
      </c>
      <c r="BJ137" s="59">
        <f t="shared" si="146"/>
        <v>275.18739333988754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18.247609820660518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18.247609820660518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266.99999999999983</v>
      </c>
      <c r="BZ137" s="13">
        <f>BY137*VLOOKUP('Données projet'!$B$12,Paramètres!$A$1:$I$89,3,0)*VLOOKUP('Données projet'!$B$12,Paramètres!$A$1:$I$89,5,0)</f>
        <v>258.24239999999986</v>
      </c>
      <c r="CA137" s="13">
        <f t="shared" si="147"/>
        <v>62.347580891234152</v>
      </c>
      <c r="CB137" s="20">
        <f t="shared" si="118"/>
        <v>558.3608833855659</v>
      </c>
      <c r="CC137" s="59">
        <f t="shared" si="119"/>
        <v>851.69421671889927</v>
      </c>
      <c r="CD137" s="59">
        <f ca="1">AVERAGE(OFFSET($CC$3,0,0,'Données projet'!$E$12+1,1))-AVERAGE(OFFSET($H$3,0,0,'Données projet'!$E$12+1,1))</f>
        <v>281.84871057356037</v>
      </c>
      <c r="CE137" s="59">
        <f t="shared" si="148"/>
        <v>276.02211904126887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14.686733317554923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14.686733317554923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319</v>
      </c>
      <c r="CU137" s="17">
        <f>CT137*VLOOKUP('Données projet'!$B$13,Paramètres!$A$1:$I$89,3,0)*VLOOKUP('Données projet'!$B$13,Paramètres!$A$1:$I$89,5,0)</f>
        <v>253.79640000000001</v>
      </c>
      <c r="CV137" s="13">
        <f t="shared" si="149"/>
        <v>61.39816832228076</v>
      </c>
      <c r="CW137" s="20">
        <f t="shared" si="121"/>
        <v>548.96387316130563</v>
      </c>
      <c r="CX137" s="59">
        <f t="shared" si="122"/>
        <v>842.29720649463889</v>
      </c>
      <c r="CY137" s="59">
        <f ca="1">AVERAGE(OFFSET($CX$3,0,0,'Données projet'!$E$13+1,1))-AVERAGE(OFFSET($H$3,0,0,'Données projet'!$E$13+1,1))</f>
        <v>279.49721661620544</v>
      </c>
      <c r="CZ137" s="59">
        <f t="shared" si="150"/>
        <v>275.18739333988754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18.247609820660518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18.247609820660518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267</v>
      </c>
      <c r="DP137" s="17">
        <f>DO137*VLOOKUP('Données projet'!$B$14,Paramètres!$A$1:$I$89,3,0)*VLOOKUP('Données projet'!$B$14,Paramètres!$A$1:$I$89,5,0)</f>
        <v>270.738</v>
      </c>
      <c r="DQ137" s="13">
        <f t="shared" si="151"/>
        <v>65.005866623551711</v>
      </c>
      <c r="DR137" s="20">
        <f t="shared" si="124"/>
        <v>584.7539010360191</v>
      </c>
      <c r="DS137" s="59">
        <f t="shared" si="125"/>
        <v>878.08723436935247</v>
      </c>
      <c r="DT137" s="59">
        <f ca="1">AVERAGE(OFFSET($DS$3,0,0,'Données projet'!$E$14+1,1))-AVERAGE(OFFSET($H$3,0,0,'Données projet'!$E$14+1,1))</f>
        <v>308.80022073574963</v>
      </c>
      <c r="DU137" s="59">
        <f t="shared" si="152"/>
        <v>183.96267407004115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58.145090053862397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58.145090053862397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266.99999999999983</v>
      </c>
      <c r="EK137" s="17">
        <f>EJ137*VLOOKUP('Données projet'!$B$15,Paramètres!$A$1:$I$89,3,0)*VLOOKUP('Données projet'!$B$15,Paramètres!$A$1:$I$89,5,0)</f>
        <v>174.93839999999989</v>
      </c>
      <c r="EL137" s="13">
        <f t="shared" si="153"/>
        <v>44.194210865203175</v>
      </c>
      <c r="EM137" s="20">
        <f t="shared" si="127"/>
        <v>381.65596392356196</v>
      </c>
      <c r="EN137" s="59">
        <f t="shared" si="128"/>
        <v>674.98929725689527</v>
      </c>
      <c r="EO137" s="59">
        <f ca="1">AVERAGE(OFFSET($EN$3,0,0,'Données projet'!$E$15+1,1))-AVERAGE(OFFSET($H$3,0,0,'Données projet'!$E$15+1,1))</f>
        <v>178.71569711875242</v>
      </c>
      <c r="EP137" s="59">
        <f t="shared" si="154"/>
        <v>178.13848582064168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9.9490774086662341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9.9490774086662341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267</v>
      </c>
      <c r="FF137" s="17">
        <f>FE137*VLOOKUP('Données projet'!$B$16,Paramètres!$A$1:$I$89,3,0)*VLOOKUP('Données projet'!$B$16,Paramètres!$A$1:$I$89,5,0)</f>
        <v>224.92080000000001</v>
      </c>
      <c r="FG137" s="13">
        <f t="shared" si="155"/>
        <v>55.1830164775604</v>
      </c>
      <c r="FH137" s="20">
        <f t="shared" si="130"/>
        <v>487.84748036508444</v>
      </c>
      <c r="FI137" s="59">
        <f t="shared" si="131"/>
        <v>781.18081369841775</v>
      </c>
      <c r="FJ137" s="59">
        <f ca="1">AVERAGE(OFFSET($FI$3,0,0,'Données projet'!$E$16+1,1))-AVERAGE(OFFSET($H$3,0,0,'Données projet'!$E$16+1,1))</f>
        <v>247.22536892257716</v>
      </c>
      <c r="FK137" s="59">
        <f t="shared" si="156"/>
        <v>147.97952262756075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48.305151737054921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48.305151737054921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6">
        <f t="shared" si="110"/>
        <v>438.49288008369155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249.0000000000002</v>
      </c>
      <c r="O138" s="13">
        <f>N138*VLOOKUP('Données projet'!$B$9,Paramètres!$A$1:$I$89,3,0)*VLOOKUP('Données projet'!$B$9,Paramètres!$A$1:$I$89,5,0)</f>
        <v>217.52640000000019</v>
      </c>
      <c r="P138" s="13">
        <f t="shared" si="141"/>
        <v>53.576907690651304</v>
      </c>
      <c r="Q138" s="20">
        <f t="shared" si="108"/>
        <v>472.17159422788467</v>
      </c>
      <c r="R138" s="59">
        <f t="shared" si="109"/>
        <v>765.50492756121798</v>
      </c>
      <c r="S138" s="59">
        <f ca="1">AVERAGE(OFFSET($R$3,0,0,'Données projet'!$E$9+1,1))-AVERAGE(OFFSET($H$3,0,0,'Données projet'!$E$9+1,1))</f>
        <v>253.73326067725128</v>
      </c>
      <c r="T138" s="59">
        <f t="shared" si="142"/>
        <v>317.76427047458026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17.237794485379876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17.237794485379876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732.99999999999966</v>
      </c>
      <c r="AJ138" s="13">
        <f>AI138*VLOOKUP('Données projet'!$B$10,Paramètres!$A$1:$I$89,3,0)*VLOOKUP('Données projet'!$B$10,Paramètres!$A$1:$I$89,5,0)</f>
        <v>352.57299999999987</v>
      </c>
      <c r="AK138" s="13">
        <f t="shared" si="143"/>
        <v>82.092092597941644</v>
      </c>
      <c r="AL138" s="20">
        <f t="shared" si="112"/>
        <v>757.04170294141477</v>
      </c>
      <c r="AM138" s="59">
        <f t="shared" si="113"/>
        <v>1050.375036274748</v>
      </c>
      <c r="AN138" s="59">
        <f ca="1">AVERAGE(OFFSET($AM$3,0,0,'Données projet'!$E$10+1,1))-AVERAGE(OFFSET($H$3,0,0,'Données projet'!$E$10+1,1))</f>
        <v>349.65790906807746</v>
      </c>
      <c r="AO138" s="59">
        <f t="shared" si="144"/>
        <v>291.88925884278888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42.567057606113835</v>
      </c>
      <c r="AV138" s="21">
        <f>EXP(-LN(2)/25)*AV137+(1-EXP(-LN(2)/25))/(LN(2)/25)*Calculateur!AQ138*Calculateur!AS138*VLOOKUP('Données projet'!$B$10,Paramètres!$A$1:$I$89,3,0)*0.475*44/12</f>
        <v>2.241335057004552</v>
      </c>
      <c r="AW138" s="21">
        <f>EXP(-LN(2)/2)*AW137+(1-EXP(-LN(2)/2))/(LN(2)/2)*AQ138*AT138*VLOOKUP('Données projet'!$B$10,Paramètres!$A$1:$I$89,3,0)*0.475*44/12</f>
        <v>8.016358288758646E-18</v>
      </c>
      <c r="AX138" s="21">
        <f t="shared" si="114"/>
        <v>44.80839266311839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319</v>
      </c>
      <c r="BE138" s="13">
        <f>BD138*VLOOKUP('Données projet'!$B$11,Paramètres!$A$1:$I$89,3,0)*VLOOKUP('Données projet'!$B$11,Paramètres!$A$1:$I$89,5,0)</f>
        <v>253.79640000000001</v>
      </c>
      <c r="BF138" s="13">
        <f t="shared" si="145"/>
        <v>61.39816832228076</v>
      </c>
      <c r="BG138" s="20">
        <f t="shared" si="115"/>
        <v>548.96387316130563</v>
      </c>
      <c r="BH138" s="59">
        <f t="shared" si="116"/>
        <v>842.29720649463889</v>
      </c>
      <c r="BI138" s="59">
        <f ca="1">AVERAGE(OFFSET($BH$3,0,0,'Données projet'!$E$11+1,1))-AVERAGE(OFFSET($H$3,0,0,'Données projet'!$E$11+1,1))</f>
        <v>279.49721661620544</v>
      </c>
      <c r="BJ138" s="59">
        <f t="shared" si="146"/>
        <v>275.18739333988754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17.889785322020366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17.889785322020366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266.99999999999983</v>
      </c>
      <c r="BZ138" s="13">
        <f>BY138*VLOOKUP('Données projet'!$B$12,Paramètres!$A$1:$I$89,3,0)*VLOOKUP('Données projet'!$B$12,Paramètres!$A$1:$I$89,5,0)</f>
        <v>258.24239999999986</v>
      </c>
      <c r="CA138" s="13">
        <f t="shared" si="147"/>
        <v>62.347580891234152</v>
      </c>
      <c r="CB138" s="20">
        <f t="shared" si="118"/>
        <v>558.3608833855659</v>
      </c>
      <c r="CC138" s="59">
        <f t="shared" si="119"/>
        <v>851.69421671889927</v>
      </c>
      <c r="CD138" s="59">
        <f ca="1">AVERAGE(OFFSET($CC$3,0,0,'Données projet'!$E$12+1,1))-AVERAGE(OFFSET($H$3,0,0,'Données projet'!$E$12+1,1))</f>
        <v>281.84871057356037</v>
      </c>
      <c r="CE138" s="59">
        <f t="shared" si="148"/>
        <v>276.02211904126887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14.398735435220463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14.398735435220463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319</v>
      </c>
      <c r="CU138" s="17">
        <f>CT138*VLOOKUP('Données projet'!$B$13,Paramètres!$A$1:$I$89,3,0)*VLOOKUP('Données projet'!$B$13,Paramètres!$A$1:$I$89,5,0)</f>
        <v>253.79640000000001</v>
      </c>
      <c r="CV138" s="13">
        <f t="shared" si="149"/>
        <v>61.39816832228076</v>
      </c>
      <c r="CW138" s="20">
        <f t="shared" si="121"/>
        <v>548.96387316130563</v>
      </c>
      <c r="CX138" s="59">
        <f t="shared" si="122"/>
        <v>842.29720649463889</v>
      </c>
      <c r="CY138" s="59">
        <f ca="1">AVERAGE(OFFSET($CX$3,0,0,'Données projet'!$E$13+1,1))-AVERAGE(OFFSET($H$3,0,0,'Données projet'!$E$13+1,1))</f>
        <v>279.49721661620544</v>
      </c>
      <c r="CZ138" s="59">
        <f t="shared" si="150"/>
        <v>275.18739333988754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17.889785322020366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17.889785322020366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267</v>
      </c>
      <c r="DP138" s="17">
        <f>DO138*VLOOKUP('Données projet'!$B$14,Paramètres!$A$1:$I$89,3,0)*VLOOKUP('Données projet'!$B$14,Paramètres!$A$1:$I$89,5,0)</f>
        <v>270.738</v>
      </c>
      <c r="DQ138" s="13">
        <f t="shared" si="151"/>
        <v>65.005866623551711</v>
      </c>
      <c r="DR138" s="20">
        <f t="shared" si="124"/>
        <v>584.7539010360191</v>
      </c>
      <c r="DS138" s="59">
        <f t="shared" si="125"/>
        <v>878.08723436935247</v>
      </c>
      <c r="DT138" s="59">
        <f ca="1">AVERAGE(OFFSET($DS$3,0,0,'Données projet'!$E$14+1,1))-AVERAGE(OFFSET($H$3,0,0,'Données projet'!$E$14+1,1))</f>
        <v>308.80022073574963</v>
      </c>
      <c r="DU138" s="59">
        <f t="shared" si="152"/>
        <v>183.96267407004115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57.004900302909213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57.004900302909213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266.99999999999983</v>
      </c>
      <c r="EK138" s="17">
        <f>EJ138*VLOOKUP('Données projet'!$B$15,Paramètres!$A$1:$I$89,3,0)*VLOOKUP('Données projet'!$B$15,Paramètres!$A$1:$I$89,5,0)</f>
        <v>174.93839999999989</v>
      </c>
      <c r="EL138" s="13">
        <f t="shared" si="153"/>
        <v>44.194210865203175</v>
      </c>
      <c r="EM138" s="20">
        <f t="shared" si="127"/>
        <v>381.65596392356196</v>
      </c>
      <c r="EN138" s="59">
        <f t="shared" si="128"/>
        <v>674.98929725689527</v>
      </c>
      <c r="EO138" s="59">
        <f ca="1">AVERAGE(OFFSET($EN$3,0,0,'Données projet'!$E$15+1,1))-AVERAGE(OFFSET($H$3,0,0,'Données projet'!$E$15+1,1))</f>
        <v>178.71569711875242</v>
      </c>
      <c r="EP138" s="59">
        <f t="shared" si="154"/>
        <v>178.13848582064168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9.7539820690203101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9.7539820690203101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267</v>
      </c>
      <c r="FF138" s="17">
        <f>FE138*VLOOKUP('Données projet'!$B$16,Paramètres!$A$1:$I$89,3,0)*VLOOKUP('Données projet'!$B$16,Paramètres!$A$1:$I$89,5,0)</f>
        <v>224.92080000000001</v>
      </c>
      <c r="FG138" s="13">
        <f t="shared" si="155"/>
        <v>55.1830164775604</v>
      </c>
      <c r="FH138" s="20">
        <f t="shared" si="130"/>
        <v>487.84748036508444</v>
      </c>
      <c r="FI138" s="59">
        <f t="shared" si="131"/>
        <v>781.18081369841775</v>
      </c>
      <c r="FJ138" s="59">
        <f ca="1">AVERAGE(OFFSET($FI$3,0,0,'Données projet'!$E$16+1,1))-AVERAGE(OFFSET($H$3,0,0,'Données projet'!$E$16+1,1))</f>
        <v>247.22536892257716</v>
      </c>
      <c r="FK138" s="59">
        <f t="shared" si="156"/>
        <v>147.97952262756075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47.357917174724584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47.357917174724584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6">
        <f t="shared" si="110"/>
        <v>439.54039910075409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249.0000000000002</v>
      </c>
      <c r="O139" s="13">
        <f>N139*VLOOKUP('Données projet'!$B$9,Paramètres!$A$1:$I$89,3,0)*VLOOKUP('Données projet'!$B$9,Paramètres!$A$1:$I$89,5,0)</f>
        <v>217.52640000000019</v>
      </c>
      <c r="P139" s="13">
        <f t="shared" si="141"/>
        <v>53.576907690651304</v>
      </c>
      <c r="Q139" s="20">
        <f t="shared" si="108"/>
        <v>472.17159422788467</v>
      </c>
      <c r="R139" s="59">
        <f t="shared" si="109"/>
        <v>765.50492756121798</v>
      </c>
      <c r="S139" s="59">
        <f ca="1">AVERAGE(OFFSET($R$3,0,0,'Données projet'!$E$9+1,1))-AVERAGE(OFFSET($H$3,0,0,'Données projet'!$E$9+1,1))</f>
        <v>253.73326067725128</v>
      </c>
      <c r="T139" s="59">
        <f t="shared" si="142"/>
        <v>317.76427047458026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16.899771849538041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16.899771849538041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732.99999999999966</v>
      </c>
      <c r="AJ139" s="13">
        <f>AI139*VLOOKUP('Données projet'!$B$10,Paramètres!$A$1:$I$89,3,0)*VLOOKUP('Données projet'!$B$10,Paramètres!$A$1:$I$89,5,0)</f>
        <v>352.57299999999987</v>
      </c>
      <c r="AK139" s="13">
        <f t="shared" si="143"/>
        <v>82.092092597941644</v>
      </c>
      <c r="AL139" s="20">
        <f t="shared" si="112"/>
        <v>757.04170294141477</v>
      </c>
      <c r="AM139" s="59">
        <f t="shared" si="113"/>
        <v>1050.375036274748</v>
      </c>
      <c r="AN139" s="59">
        <f ca="1">AVERAGE(OFFSET($AM$3,0,0,'Données projet'!$E$10+1,1))-AVERAGE(OFFSET($H$3,0,0,'Données projet'!$E$10+1,1))</f>
        <v>349.65790906807746</v>
      </c>
      <c r="AO139" s="59">
        <f t="shared" si="144"/>
        <v>291.88925884278888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41.732343569799419</v>
      </c>
      <c r="AV139" s="21">
        <f>EXP(-LN(2)/25)*AV138+(1-EXP(-LN(2)/25))/(LN(2)/25)*Calculateur!AQ139*Calculateur!AS139*VLOOKUP('Données projet'!$B$10,Paramètres!$A$1:$I$89,3,0)*0.475*44/12</f>
        <v>2.1800456320040746</v>
      </c>
      <c r="AW139" s="21">
        <f>EXP(-LN(2)/2)*AW138+(1-EXP(-LN(2)/2))/(LN(2)/2)*AQ139*AT139*VLOOKUP('Données projet'!$B$10,Paramètres!$A$1:$I$89,3,0)*0.475*44/12</f>
        <v>5.6684213064022264E-18</v>
      </c>
      <c r="AX139" s="21">
        <f t="shared" si="114"/>
        <v>43.912389201803492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319</v>
      </c>
      <c r="BE139" s="13">
        <f>BD139*VLOOKUP('Données projet'!$B$11,Paramètres!$A$1:$I$89,3,0)*VLOOKUP('Données projet'!$B$11,Paramètres!$A$1:$I$89,5,0)</f>
        <v>253.79640000000001</v>
      </c>
      <c r="BF139" s="13">
        <f t="shared" si="145"/>
        <v>61.39816832228076</v>
      </c>
      <c r="BG139" s="20">
        <f t="shared" si="115"/>
        <v>548.96387316130563</v>
      </c>
      <c r="BH139" s="59">
        <f t="shared" si="116"/>
        <v>842.29720649463889</v>
      </c>
      <c r="BI139" s="59">
        <f ca="1">AVERAGE(OFFSET($BH$3,0,0,'Données projet'!$E$11+1,1))-AVERAGE(OFFSET($H$3,0,0,'Données projet'!$E$11+1,1))</f>
        <v>279.49721661620544</v>
      </c>
      <c r="BJ139" s="59">
        <f t="shared" si="146"/>
        <v>275.18739333988754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17.538977543547151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17.538977543547151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266.99999999999983</v>
      </c>
      <c r="BZ139" s="13">
        <f>BY139*VLOOKUP('Données projet'!$B$12,Paramètres!$A$1:$I$89,3,0)*VLOOKUP('Données projet'!$B$12,Paramètres!$A$1:$I$89,5,0)</f>
        <v>258.24239999999986</v>
      </c>
      <c r="CA139" s="13">
        <f t="shared" si="147"/>
        <v>62.347580891234152</v>
      </c>
      <c r="CB139" s="20">
        <f t="shared" si="118"/>
        <v>558.3608833855659</v>
      </c>
      <c r="CC139" s="59">
        <f t="shared" si="119"/>
        <v>851.69421671889927</v>
      </c>
      <c r="CD139" s="59">
        <f ca="1">AVERAGE(OFFSET($CC$3,0,0,'Données projet'!$E$12+1,1))-AVERAGE(OFFSET($H$3,0,0,'Données projet'!$E$12+1,1))</f>
        <v>281.84871057356037</v>
      </c>
      <c r="CE139" s="59">
        <f t="shared" si="148"/>
        <v>276.02211904126887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14.116385015697219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14.116385015697219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319</v>
      </c>
      <c r="CU139" s="17">
        <f>CT139*VLOOKUP('Données projet'!$B$13,Paramètres!$A$1:$I$89,3,0)*VLOOKUP('Données projet'!$B$13,Paramètres!$A$1:$I$89,5,0)</f>
        <v>253.79640000000001</v>
      </c>
      <c r="CV139" s="13">
        <f t="shared" si="149"/>
        <v>61.39816832228076</v>
      </c>
      <c r="CW139" s="20">
        <f t="shared" si="121"/>
        <v>548.96387316130563</v>
      </c>
      <c r="CX139" s="59">
        <f t="shared" si="122"/>
        <v>842.29720649463889</v>
      </c>
      <c r="CY139" s="59">
        <f ca="1">AVERAGE(OFFSET($CX$3,0,0,'Données projet'!$E$13+1,1))-AVERAGE(OFFSET($H$3,0,0,'Données projet'!$E$13+1,1))</f>
        <v>279.49721661620544</v>
      </c>
      <c r="CZ139" s="59">
        <f t="shared" si="150"/>
        <v>275.18739333988754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17.538977543547151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17.538977543547151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267</v>
      </c>
      <c r="DP139" s="17">
        <f>DO139*VLOOKUP('Données projet'!$B$14,Paramètres!$A$1:$I$89,3,0)*VLOOKUP('Données projet'!$B$14,Paramètres!$A$1:$I$89,5,0)</f>
        <v>270.738</v>
      </c>
      <c r="DQ139" s="13">
        <f t="shared" si="151"/>
        <v>65.005866623551711</v>
      </c>
      <c r="DR139" s="20">
        <f t="shared" si="124"/>
        <v>584.7539010360191</v>
      </c>
      <c r="DS139" s="59">
        <f t="shared" si="125"/>
        <v>878.08723436935247</v>
      </c>
      <c r="DT139" s="59">
        <f ca="1">AVERAGE(OFFSET($DS$3,0,0,'Données projet'!$E$14+1,1))-AVERAGE(OFFSET($H$3,0,0,'Données projet'!$E$14+1,1))</f>
        <v>308.80022073574963</v>
      </c>
      <c r="DU139" s="59">
        <f t="shared" si="152"/>
        <v>183.96267407004115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55.887068977525139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55.887068977525139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266.99999999999983</v>
      </c>
      <c r="EK139" s="17">
        <f>EJ139*VLOOKUP('Données projet'!$B$15,Paramètres!$A$1:$I$89,3,0)*VLOOKUP('Données projet'!$B$15,Paramètres!$A$1:$I$89,5,0)</f>
        <v>174.93839999999989</v>
      </c>
      <c r="EL139" s="13">
        <f t="shared" si="153"/>
        <v>44.194210865203175</v>
      </c>
      <c r="EM139" s="20">
        <f t="shared" si="127"/>
        <v>381.65596392356196</v>
      </c>
      <c r="EN139" s="59">
        <f t="shared" si="128"/>
        <v>674.98929725689527</v>
      </c>
      <c r="EO139" s="59">
        <f ca="1">AVERAGE(OFFSET($EN$3,0,0,'Données projet'!$E$15+1,1))-AVERAGE(OFFSET($H$3,0,0,'Données projet'!$E$15+1,1))</f>
        <v>178.71569711875242</v>
      </c>
      <c r="EP139" s="59">
        <f t="shared" si="154"/>
        <v>178.13848582064168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9.5627124299884354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9.5627124299884354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267</v>
      </c>
      <c r="FF139" s="17">
        <f>FE139*VLOOKUP('Données projet'!$B$16,Paramètres!$A$1:$I$89,3,0)*VLOOKUP('Données projet'!$B$16,Paramètres!$A$1:$I$89,5,0)</f>
        <v>224.92080000000001</v>
      </c>
      <c r="FG139" s="13">
        <f t="shared" si="155"/>
        <v>55.1830164775604</v>
      </c>
      <c r="FH139" s="20">
        <f t="shared" si="130"/>
        <v>487.84748036508444</v>
      </c>
      <c r="FI139" s="59">
        <f t="shared" si="131"/>
        <v>781.18081369841775</v>
      </c>
      <c r="FJ139" s="59">
        <f ca="1">AVERAGE(OFFSET($FI$3,0,0,'Données projet'!$E$16+1,1))-AVERAGE(OFFSET($H$3,0,0,'Données projet'!$E$16+1,1))</f>
        <v>247.22536892257716</v>
      </c>
      <c r="FK139" s="59">
        <f t="shared" si="156"/>
        <v>147.97952262756075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46.42925730440551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46.42925730440551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6">
        <f t="shared" si="110"/>
        <v>440.58773864818636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249.0000000000002</v>
      </c>
      <c r="O140" s="13">
        <f>N140*VLOOKUP('Données projet'!$B$9,Paramètres!$A$1:$I$89,3,0)*VLOOKUP('Données projet'!$B$9,Paramètres!$A$1:$I$89,5,0)</f>
        <v>217.52640000000019</v>
      </c>
      <c r="P140" s="13">
        <f t="shared" si="141"/>
        <v>53.576907690651304</v>
      </c>
      <c r="Q140" s="20">
        <f t="shared" si="108"/>
        <v>472.17159422788467</v>
      </c>
      <c r="R140" s="59">
        <f t="shared" si="109"/>
        <v>765.50492756121798</v>
      </c>
      <c r="S140" s="59">
        <f ca="1">AVERAGE(OFFSET($R$3,0,0,'Données projet'!$E$9+1,1))-AVERAGE(OFFSET($H$3,0,0,'Données projet'!$E$9+1,1))</f>
        <v>253.73326067725128</v>
      </c>
      <c r="T140" s="59">
        <f t="shared" si="142"/>
        <v>317.76427047458026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16.568377631411614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16.568377631411614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732.99999999999966</v>
      </c>
      <c r="AJ140" s="13">
        <f>AI140*VLOOKUP('Données projet'!$B$10,Paramètres!$A$1:$I$89,3,0)*VLOOKUP('Données projet'!$B$10,Paramètres!$A$1:$I$89,5,0)</f>
        <v>352.57299999999987</v>
      </c>
      <c r="AK140" s="13">
        <f t="shared" si="143"/>
        <v>82.092092597941644</v>
      </c>
      <c r="AL140" s="20">
        <f t="shared" si="112"/>
        <v>757.04170294141477</v>
      </c>
      <c r="AM140" s="59">
        <f t="shared" si="113"/>
        <v>1050.375036274748</v>
      </c>
      <c r="AN140" s="59">
        <f ca="1">AVERAGE(OFFSET($AM$3,0,0,'Données projet'!$E$10+1,1))-AVERAGE(OFFSET($H$3,0,0,'Données projet'!$E$10+1,1))</f>
        <v>349.65790906807746</v>
      </c>
      <c r="AO140" s="59">
        <f t="shared" si="144"/>
        <v>291.88925884278888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40.913997766611836</v>
      </c>
      <c r="AV140" s="21">
        <f>EXP(-LN(2)/25)*AV139+(1-EXP(-LN(2)/25))/(LN(2)/25)*Calculateur!AQ140*Calculateur!AS140*VLOOKUP('Données projet'!$B$10,Paramètres!$A$1:$I$89,3,0)*0.475*44/12</f>
        <v>2.1204321695533062</v>
      </c>
      <c r="AW140" s="21">
        <f>EXP(-LN(2)/2)*AW139+(1-EXP(-LN(2)/2))/(LN(2)/2)*AQ140*AT140*VLOOKUP('Données projet'!$B$10,Paramètres!$A$1:$I$89,3,0)*0.475*44/12</f>
        <v>4.008179144379323E-18</v>
      </c>
      <c r="AX140" s="21">
        <f t="shared" si="114"/>
        <v>43.034429936165139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319</v>
      </c>
      <c r="BE140" s="13">
        <f>BD140*VLOOKUP('Données projet'!$B$11,Paramètres!$A$1:$I$89,3,0)*VLOOKUP('Données projet'!$B$11,Paramètres!$A$1:$I$89,5,0)</f>
        <v>253.79640000000001</v>
      </c>
      <c r="BF140" s="13">
        <f t="shared" si="145"/>
        <v>61.39816832228076</v>
      </c>
      <c r="BG140" s="20">
        <f t="shared" si="115"/>
        <v>548.96387316130563</v>
      </c>
      <c r="BH140" s="59">
        <f t="shared" si="116"/>
        <v>842.29720649463889</v>
      </c>
      <c r="BI140" s="59">
        <f ca="1">AVERAGE(OFFSET($BH$3,0,0,'Données projet'!$E$11+1,1))-AVERAGE(OFFSET($H$3,0,0,'Données projet'!$E$11+1,1))</f>
        <v>279.49721661620544</v>
      </c>
      <c r="BJ140" s="59">
        <f t="shared" si="146"/>
        <v>275.18739333988754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17.19504889163818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17.19504889163818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266.99999999999983</v>
      </c>
      <c r="BZ140" s="13">
        <f>BY140*VLOOKUP('Données projet'!$B$12,Paramètres!$A$1:$I$89,3,0)*VLOOKUP('Données projet'!$B$12,Paramètres!$A$1:$I$89,5,0)</f>
        <v>258.24239999999986</v>
      </c>
      <c r="CA140" s="13">
        <f t="shared" si="147"/>
        <v>62.347580891234152</v>
      </c>
      <c r="CB140" s="20">
        <f t="shared" si="118"/>
        <v>558.3608833855659</v>
      </c>
      <c r="CC140" s="59">
        <f t="shared" si="119"/>
        <v>851.69421671889927</v>
      </c>
      <c r="CD140" s="59">
        <f ca="1">AVERAGE(OFFSET($CC$3,0,0,'Données projet'!$E$12+1,1))-AVERAGE(OFFSET($H$3,0,0,'Données projet'!$E$12+1,1))</f>
        <v>281.84871057356037</v>
      </c>
      <c r="CE140" s="59">
        <f t="shared" si="148"/>
        <v>276.02211904126887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13.839571315684076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13.839571315684076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319</v>
      </c>
      <c r="CU140" s="17">
        <f>CT140*VLOOKUP('Données projet'!$B$13,Paramètres!$A$1:$I$89,3,0)*VLOOKUP('Données projet'!$B$13,Paramètres!$A$1:$I$89,5,0)</f>
        <v>253.79640000000001</v>
      </c>
      <c r="CV140" s="13">
        <f t="shared" si="149"/>
        <v>61.39816832228076</v>
      </c>
      <c r="CW140" s="20">
        <f t="shared" si="121"/>
        <v>548.96387316130563</v>
      </c>
      <c r="CX140" s="59">
        <f t="shared" si="122"/>
        <v>842.29720649463889</v>
      </c>
      <c r="CY140" s="59">
        <f ca="1">AVERAGE(OFFSET($CX$3,0,0,'Données projet'!$E$13+1,1))-AVERAGE(OFFSET($H$3,0,0,'Données projet'!$E$13+1,1))</f>
        <v>279.49721661620544</v>
      </c>
      <c r="CZ140" s="59">
        <f t="shared" si="150"/>
        <v>275.18739333988754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17.19504889163818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17.19504889163818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267</v>
      </c>
      <c r="DP140" s="17">
        <f>DO140*VLOOKUP('Données projet'!$B$14,Paramètres!$A$1:$I$89,3,0)*VLOOKUP('Données projet'!$B$14,Paramètres!$A$1:$I$89,5,0)</f>
        <v>270.738</v>
      </c>
      <c r="DQ140" s="13">
        <f t="shared" si="151"/>
        <v>65.005866623551711</v>
      </c>
      <c r="DR140" s="20">
        <f t="shared" si="124"/>
        <v>584.7539010360191</v>
      </c>
      <c r="DS140" s="59">
        <f t="shared" si="125"/>
        <v>878.08723436935247</v>
      </c>
      <c r="DT140" s="59">
        <f ca="1">AVERAGE(OFFSET($DS$3,0,0,'Données projet'!$E$14+1,1))-AVERAGE(OFFSET($H$3,0,0,'Données projet'!$E$14+1,1))</f>
        <v>308.80022073574963</v>
      </c>
      <c r="DU140" s="59">
        <f t="shared" si="152"/>
        <v>183.96267407004115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54.791157642622061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54.791157642622061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266.99999999999983</v>
      </c>
      <c r="EK140" s="17">
        <f>EJ140*VLOOKUP('Données projet'!$B$15,Paramètres!$A$1:$I$89,3,0)*VLOOKUP('Données projet'!$B$15,Paramètres!$A$1:$I$89,5,0)</f>
        <v>174.93839999999989</v>
      </c>
      <c r="EL140" s="13">
        <f t="shared" si="153"/>
        <v>44.194210865203175</v>
      </c>
      <c r="EM140" s="20">
        <f t="shared" si="127"/>
        <v>381.65596392356196</v>
      </c>
      <c r="EN140" s="59">
        <f t="shared" si="128"/>
        <v>674.98929725689527</v>
      </c>
      <c r="EO140" s="59">
        <f ca="1">AVERAGE(OFFSET($EN$3,0,0,'Données projet'!$E$15+1,1))-AVERAGE(OFFSET($H$3,0,0,'Données projet'!$E$15+1,1))</f>
        <v>178.71569711875242</v>
      </c>
      <c r="EP140" s="59">
        <f t="shared" si="154"/>
        <v>178.13848582064168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9.375193471915015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9.375193471915015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267</v>
      </c>
      <c r="FF140" s="17">
        <f>FE140*VLOOKUP('Données projet'!$B$16,Paramètres!$A$1:$I$89,3,0)*VLOOKUP('Données projet'!$B$16,Paramètres!$A$1:$I$89,5,0)</f>
        <v>224.92080000000001</v>
      </c>
      <c r="FG140" s="13">
        <f t="shared" si="155"/>
        <v>55.1830164775604</v>
      </c>
      <c r="FH140" s="20">
        <f t="shared" si="130"/>
        <v>487.84748036508444</v>
      </c>
      <c r="FI140" s="59">
        <f t="shared" si="131"/>
        <v>781.18081369841775</v>
      </c>
      <c r="FJ140" s="59">
        <f ca="1">AVERAGE(OFFSET($FI$3,0,0,'Données projet'!$E$16+1,1))-AVERAGE(OFFSET($H$3,0,0,'Données projet'!$E$16+1,1))</f>
        <v>247.22536892257716</v>
      </c>
      <c r="FK140" s="59">
        <f t="shared" si="156"/>
        <v>147.97952262756075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45.518807887716797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45.518807887716797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6">
        <f t="shared" si="110"/>
        <v>441.63490018787445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249.0000000000002</v>
      </c>
      <c r="O141" s="13">
        <f>N141*VLOOKUP('Données projet'!$B$9,Paramètres!$A$1:$I$89,3,0)*VLOOKUP('Données projet'!$B$9,Paramètres!$A$1:$I$89,5,0)</f>
        <v>217.52640000000019</v>
      </c>
      <c r="P141" s="13">
        <f t="shared" si="141"/>
        <v>53.576907690651304</v>
      </c>
      <c r="Q141" s="20">
        <f t="shared" si="108"/>
        <v>472.17159422788467</v>
      </c>
      <c r="R141" s="59">
        <f t="shared" si="109"/>
        <v>765.50492756121798</v>
      </c>
      <c r="S141" s="59">
        <f ca="1">AVERAGE(OFFSET($R$3,0,0,'Données projet'!$E$9+1,1))-AVERAGE(OFFSET($H$3,0,0,'Données projet'!$E$9+1,1))</f>
        <v>253.73326067725128</v>
      </c>
      <c r="T141" s="59">
        <f t="shared" si="142"/>
        <v>317.76427047458026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16.243481851772131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16.243481851772131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732.99999999999966</v>
      </c>
      <c r="AJ141" s="13">
        <f>AI141*VLOOKUP('Données projet'!$B$10,Paramètres!$A$1:$I$89,3,0)*VLOOKUP('Données projet'!$B$10,Paramètres!$A$1:$I$89,5,0)</f>
        <v>352.57299999999987</v>
      </c>
      <c r="AK141" s="13">
        <f t="shared" si="143"/>
        <v>82.092092597941644</v>
      </c>
      <c r="AL141" s="20">
        <f t="shared" si="112"/>
        <v>757.04170294141477</v>
      </c>
      <c r="AM141" s="59">
        <f t="shared" si="113"/>
        <v>1050.375036274748</v>
      </c>
      <c r="AN141" s="59">
        <f ca="1">AVERAGE(OFFSET($AM$3,0,0,'Données projet'!$E$10+1,1))-AVERAGE(OFFSET($H$3,0,0,'Données projet'!$E$10+1,1))</f>
        <v>349.65790906807746</v>
      </c>
      <c r="AO141" s="59">
        <f t="shared" si="144"/>
        <v>291.88925884278888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40.111699225483108</v>
      </c>
      <c r="AV141" s="21">
        <f>EXP(-LN(2)/25)*AV140+(1-EXP(-LN(2)/25))/(LN(2)/25)*Calculateur!AQ141*Calculateur!AS141*VLOOKUP('Données projet'!$B$10,Paramètres!$A$1:$I$89,3,0)*0.475*44/12</f>
        <v>2.0624488403681895</v>
      </c>
      <c r="AW141" s="21">
        <f>EXP(-LN(2)/2)*AW140+(1-EXP(-LN(2)/2))/(LN(2)/2)*AQ141*AT141*VLOOKUP('Données projet'!$B$10,Paramètres!$A$1:$I$89,3,0)*0.475*44/12</f>
        <v>2.8342106532011132E-18</v>
      </c>
      <c r="AX141" s="21">
        <f t="shared" si="114"/>
        <v>42.174148065851298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319</v>
      </c>
      <c r="BE141" s="13">
        <f>BD141*VLOOKUP('Données projet'!$B$11,Paramètres!$A$1:$I$89,3,0)*VLOOKUP('Données projet'!$B$11,Paramètres!$A$1:$I$89,5,0)</f>
        <v>253.79640000000001</v>
      </c>
      <c r="BF141" s="13">
        <f t="shared" si="145"/>
        <v>61.39816832228076</v>
      </c>
      <c r="BG141" s="20">
        <f t="shared" si="115"/>
        <v>548.96387316130563</v>
      </c>
      <c r="BH141" s="59">
        <f t="shared" si="116"/>
        <v>842.29720649463889</v>
      </c>
      <c r="BI141" s="59">
        <f ca="1">AVERAGE(OFFSET($BH$3,0,0,'Données projet'!$E$11+1,1))-AVERAGE(OFFSET($H$3,0,0,'Données projet'!$E$11+1,1))</f>
        <v>279.49721661620544</v>
      </c>
      <c r="BJ141" s="59">
        <f t="shared" si="146"/>
        <v>275.18739333988754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16.857864470817379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16.857864470817379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266.99999999999983</v>
      </c>
      <c r="BZ141" s="13">
        <f>BY141*VLOOKUP('Données projet'!$B$12,Paramètres!$A$1:$I$89,3,0)*VLOOKUP('Données projet'!$B$12,Paramètres!$A$1:$I$89,5,0)</f>
        <v>258.24239999999986</v>
      </c>
      <c r="CA141" s="13">
        <f t="shared" si="147"/>
        <v>62.347580891234152</v>
      </c>
      <c r="CB141" s="20">
        <f t="shared" si="118"/>
        <v>558.3608833855659</v>
      </c>
      <c r="CC141" s="59">
        <f t="shared" si="119"/>
        <v>851.69421671889927</v>
      </c>
      <c r="CD141" s="59">
        <f ca="1">AVERAGE(OFFSET($CC$3,0,0,'Données projet'!$E$12+1,1))-AVERAGE(OFFSET($H$3,0,0,'Données projet'!$E$12+1,1))</f>
        <v>281.84871057356037</v>
      </c>
      <c r="CE141" s="59">
        <f t="shared" si="148"/>
        <v>276.02211904126887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13.568185763488504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13.568185763488504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319</v>
      </c>
      <c r="CU141" s="17">
        <f>CT141*VLOOKUP('Données projet'!$B$13,Paramètres!$A$1:$I$89,3,0)*VLOOKUP('Données projet'!$B$13,Paramètres!$A$1:$I$89,5,0)</f>
        <v>253.79640000000001</v>
      </c>
      <c r="CV141" s="13">
        <f t="shared" si="149"/>
        <v>61.39816832228076</v>
      </c>
      <c r="CW141" s="20">
        <f t="shared" si="121"/>
        <v>548.96387316130563</v>
      </c>
      <c r="CX141" s="59">
        <f t="shared" si="122"/>
        <v>842.29720649463889</v>
      </c>
      <c r="CY141" s="59">
        <f ca="1">AVERAGE(OFFSET($CX$3,0,0,'Données projet'!$E$13+1,1))-AVERAGE(OFFSET($H$3,0,0,'Données projet'!$E$13+1,1))</f>
        <v>279.49721661620544</v>
      </c>
      <c r="CZ141" s="59">
        <f t="shared" si="150"/>
        <v>275.18739333988754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16.857864470817379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16.857864470817379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267</v>
      </c>
      <c r="DP141" s="17">
        <f>DO141*VLOOKUP('Données projet'!$B$14,Paramètres!$A$1:$I$89,3,0)*VLOOKUP('Données projet'!$B$14,Paramètres!$A$1:$I$89,5,0)</f>
        <v>270.738</v>
      </c>
      <c r="DQ141" s="13">
        <f t="shared" si="151"/>
        <v>65.005866623551711</v>
      </c>
      <c r="DR141" s="20">
        <f t="shared" si="124"/>
        <v>584.7539010360191</v>
      </c>
      <c r="DS141" s="59">
        <f t="shared" si="125"/>
        <v>878.08723436935247</v>
      </c>
      <c r="DT141" s="59">
        <f ca="1">AVERAGE(OFFSET($DS$3,0,0,'Données projet'!$E$14+1,1))-AVERAGE(OFFSET($H$3,0,0,'Données projet'!$E$14+1,1))</f>
        <v>308.80022073574963</v>
      </c>
      <c r="DU141" s="59">
        <f t="shared" si="152"/>
        <v>183.96267407004115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53.716736460556518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53.716736460556518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266.99999999999983</v>
      </c>
      <c r="EK141" s="17">
        <f>EJ141*VLOOKUP('Données projet'!$B$15,Paramètres!$A$1:$I$89,3,0)*VLOOKUP('Données projet'!$B$15,Paramètres!$A$1:$I$89,5,0)</f>
        <v>174.93839999999989</v>
      </c>
      <c r="EL141" s="13">
        <f t="shared" si="153"/>
        <v>44.194210865203175</v>
      </c>
      <c r="EM141" s="20">
        <f t="shared" si="127"/>
        <v>381.65596392356196</v>
      </c>
      <c r="EN141" s="59">
        <f t="shared" si="128"/>
        <v>674.98929725689527</v>
      </c>
      <c r="EO141" s="59">
        <f ca="1">AVERAGE(OFFSET($EN$3,0,0,'Données projet'!$E$15+1,1))-AVERAGE(OFFSET($H$3,0,0,'Données projet'!$E$15+1,1))</f>
        <v>178.71569711875242</v>
      </c>
      <c r="EP141" s="59">
        <f t="shared" si="154"/>
        <v>178.13848582064168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9.1913516462341445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9.1913516462341445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267</v>
      </c>
      <c r="FF141" s="17">
        <f>FE141*VLOOKUP('Données projet'!$B$16,Paramètres!$A$1:$I$89,3,0)*VLOOKUP('Données projet'!$B$16,Paramètres!$A$1:$I$89,5,0)</f>
        <v>224.92080000000001</v>
      </c>
      <c r="FG141" s="13">
        <f t="shared" si="155"/>
        <v>55.1830164775604</v>
      </c>
      <c r="FH141" s="20">
        <f t="shared" si="130"/>
        <v>487.84748036508444</v>
      </c>
      <c r="FI141" s="59">
        <f t="shared" si="131"/>
        <v>781.18081369841775</v>
      </c>
      <c r="FJ141" s="59">
        <f ca="1">AVERAGE(OFFSET($FI$3,0,0,'Données projet'!$E$16+1,1))-AVERAGE(OFFSET($H$3,0,0,'Données projet'!$E$16+1,1))</f>
        <v>247.22536892257716</v>
      </c>
      <c r="FK141" s="59">
        <f t="shared" si="156"/>
        <v>147.97952262756075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44.626211828770039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44.626211828770039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6">
        <f t="shared" si="110"/>
        <v>442.68188515929319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249.0000000000002</v>
      </c>
      <c r="O142" s="13">
        <f>N142*VLOOKUP('Données projet'!$B$9,Paramètres!$A$1:$I$89,3,0)*VLOOKUP('Données projet'!$B$9,Paramètres!$A$1:$I$89,5,0)</f>
        <v>217.52640000000019</v>
      </c>
      <c r="P142" s="13">
        <f t="shared" si="141"/>
        <v>53.576907690651304</v>
      </c>
      <c r="Q142" s="20">
        <f t="shared" si="108"/>
        <v>472.17159422788467</v>
      </c>
      <c r="R142" s="59">
        <f t="shared" si="109"/>
        <v>765.50492756121798</v>
      </c>
      <c r="S142" s="59">
        <f ca="1">AVERAGE(OFFSET($R$3,0,0,'Données projet'!$E$9+1,1))-AVERAGE(OFFSET($H$3,0,0,'Données projet'!$E$9+1,1))</f>
        <v>253.73326067725128</v>
      </c>
      <c r="T142" s="59">
        <f t="shared" si="142"/>
        <v>317.76427047458026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15.924957080204519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15.924957080204519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732.99999999999966</v>
      </c>
      <c r="AJ142" s="13">
        <f>AI142*VLOOKUP('Données projet'!$B$10,Paramètres!$A$1:$I$89,3,0)*VLOOKUP('Données projet'!$B$10,Paramètres!$A$1:$I$89,5,0)</f>
        <v>352.57299999999987</v>
      </c>
      <c r="AK142" s="13">
        <f t="shared" si="143"/>
        <v>82.092092597941644</v>
      </c>
      <c r="AL142" s="20">
        <f t="shared" si="112"/>
        <v>757.04170294141477</v>
      </c>
      <c r="AM142" s="59">
        <f t="shared" si="113"/>
        <v>1050.375036274748</v>
      </c>
      <c r="AN142" s="59">
        <f ca="1">AVERAGE(OFFSET($AM$3,0,0,'Données projet'!$E$10+1,1))-AVERAGE(OFFSET($H$3,0,0,'Données projet'!$E$10+1,1))</f>
        <v>349.65790906807746</v>
      </c>
      <c r="AO142" s="59">
        <f t="shared" si="144"/>
        <v>291.88925884278888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39.325133269392119</v>
      </c>
      <c r="AV142" s="21">
        <f>EXP(-LN(2)/25)*AV141+(1-EXP(-LN(2)/25))/(LN(2)/25)*Calculateur!AQ142*Calculateur!AS142*VLOOKUP('Données projet'!$B$10,Paramètres!$A$1:$I$89,3,0)*0.475*44/12</f>
        <v>2.0060510683688508</v>
      </c>
      <c r="AW142" s="21">
        <f>EXP(-LN(2)/2)*AW141+(1-EXP(-LN(2)/2))/(LN(2)/2)*AQ142*AT142*VLOOKUP('Données projet'!$B$10,Paramètres!$A$1:$I$89,3,0)*0.475*44/12</f>
        <v>2.0040895721896615E-18</v>
      </c>
      <c r="AX142" s="21">
        <f t="shared" si="114"/>
        <v>41.331184337760966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319</v>
      </c>
      <c r="BE142" s="13">
        <f>BD142*VLOOKUP('Données projet'!$B$11,Paramètres!$A$1:$I$89,3,0)*VLOOKUP('Données projet'!$B$11,Paramètres!$A$1:$I$89,5,0)</f>
        <v>253.79640000000001</v>
      </c>
      <c r="BF142" s="13">
        <f t="shared" si="145"/>
        <v>61.39816832228076</v>
      </c>
      <c r="BG142" s="20">
        <f t="shared" si="115"/>
        <v>548.96387316130563</v>
      </c>
      <c r="BH142" s="59">
        <f t="shared" si="116"/>
        <v>842.29720649463889</v>
      </c>
      <c r="BI142" s="59">
        <f ca="1">AVERAGE(OFFSET($BH$3,0,0,'Données projet'!$E$11+1,1))-AVERAGE(OFFSET($H$3,0,0,'Données projet'!$E$11+1,1))</f>
        <v>279.49721661620544</v>
      </c>
      <c r="BJ142" s="59">
        <f t="shared" si="146"/>
        <v>275.18739333988754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16.527292030826686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16.527292030826686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266.99999999999983</v>
      </c>
      <c r="BZ142" s="13">
        <f>BY142*VLOOKUP('Données projet'!$B$12,Paramètres!$A$1:$I$89,3,0)*VLOOKUP('Données projet'!$B$12,Paramètres!$A$1:$I$89,5,0)</f>
        <v>258.24239999999986</v>
      </c>
      <c r="CA142" s="13">
        <f t="shared" si="147"/>
        <v>62.347580891234152</v>
      </c>
      <c r="CB142" s="20">
        <f t="shared" si="118"/>
        <v>558.3608833855659</v>
      </c>
      <c r="CC142" s="59">
        <f t="shared" si="119"/>
        <v>851.69421671889927</v>
      </c>
      <c r="CD142" s="59">
        <f ca="1">AVERAGE(OFFSET($CC$3,0,0,'Données projet'!$E$12+1,1))-AVERAGE(OFFSET($H$3,0,0,'Données projet'!$E$12+1,1))</f>
        <v>281.84871057356037</v>
      </c>
      <c r="CE142" s="59">
        <f t="shared" si="148"/>
        <v>276.02211904126887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13.302121916442646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13.302121916442646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319</v>
      </c>
      <c r="CU142" s="17">
        <f>CT142*VLOOKUP('Données projet'!$B$13,Paramètres!$A$1:$I$89,3,0)*VLOOKUP('Données projet'!$B$13,Paramètres!$A$1:$I$89,5,0)</f>
        <v>253.79640000000001</v>
      </c>
      <c r="CV142" s="13">
        <f t="shared" si="149"/>
        <v>61.39816832228076</v>
      </c>
      <c r="CW142" s="20">
        <f t="shared" si="121"/>
        <v>548.96387316130563</v>
      </c>
      <c r="CX142" s="59">
        <f t="shared" si="122"/>
        <v>842.29720649463889</v>
      </c>
      <c r="CY142" s="59">
        <f ca="1">AVERAGE(OFFSET($CX$3,0,0,'Données projet'!$E$13+1,1))-AVERAGE(OFFSET($H$3,0,0,'Données projet'!$E$13+1,1))</f>
        <v>279.49721661620544</v>
      </c>
      <c r="CZ142" s="59">
        <f t="shared" si="150"/>
        <v>275.18739333988754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16.527292030826686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16.527292030826686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267</v>
      </c>
      <c r="DP142" s="17">
        <f>DO142*VLOOKUP('Données projet'!$B$14,Paramètres!$A$1:$I$89,3,0)*VLOOKUP('Données projet'!$B$14,Paramètres!$A$1:$I$89,5,0)</f>
        <v>270.738</v>
      </c>
      <c r="DQ142" s="13">
        <f t="shared" si="151"/>
        <v>65.005866623551711</v>
      </c>
      <c r="DR142" s="20">
        <f t="shared" si="124"/>
        <v>584.7539010360191</v>
      </c>
      <c r="DS142" s="59">
        <f t="shared" si="125"/>
        <v>878.08723436935247</v>
      </c>
      <c r="DT142" s="59">
        <f ca="1">AVERAGE(OFFSET($DS$3,0,0,'Données projet'!$E$14+1,1))-AVERAGE(OFFSET($H$3,0,0,'Données projet'!$E$14+1,1))</f>
        <v>308.80022073574963</v>
      </c>
      <c r="DU142" s="59">
        <f t="shared" si="152"/>
        <v>183.96267407004115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52.66338402253907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52.66338402253907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266.99999999999983</v>
      </c>
      <c r="EK142" s="17">
        <f>EJ142*VLOOKUP('Données projet'!$B$15,Paramètres!$A$1:$I$89,3,0)*VLOOKUP('Données projet'!$B$15,Paramètres!$A$1:$I$89,5,0)</f>
        <v>174.93839999999989</v>
      </c>
      <c r="EL142" s="13">
        <f t="shared" si="153"/>
        <v>44.194210865203175</v>
      </c>
      <c r="EM142" s="20">
        <f t="shared" si="127"/>
        <v>381.65596392356196</v>
      </c>
      <c r="EN142" s="59">
        <f t="shared" si="128"/>
        <v>674.98929725689527</v>
      </c>
      <c r="EO142" s="59">
        <f ca="1">AVERAGE(OFFSET($EN$3,0,0,'Données projet'!$E$15+1,1))-AVERAGE(OFFSET($H$3,0,0,'Données projet'!$E$15+1,1))</f>
        <v>178.71569711875242</v>
      </c>
      <c r="EP142" s="59">
        <f t="shared" si="154"/>
        <v>178.13848582064168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9.0111148466224336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9.0111148466224336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267</v>
      </c>
      <c r="FF142" s="17">
        <f>FE142*VLOOKUP('Données projet'!$B$16,Paramètres!$A$1:$I$89,3,0)*VLOOKUP('Données projet'!$B$16,Paramètres!$A$1:$I$89,5,0)</f>
        <v>224.92080000000001</v>
      </c>
      <c r="FG142" s="13">
        <f t="shared" si="155"/>
        <v>55.1830164775604</v>
      </c>
      <c r="FH142" s="20">
        <f t="shared" si="130"/>
        <v>487.84748036508444</v>
      </c>
      <c r="FI142" s="59">
        <f t="shared" si="131"/>
        <v>781.18081369841775</v>
      </c>
      <c r="FJ142" s="59">
        <f ca="1">AVERAGE(OFFSET($FI$3,0,0,'Données projet'!$E$16+1,1))-AVERAGE(OFFSET($H$3,0,0,'Données projet'!$E$16+1,1))</f>
        <v>247.22536892257716</v>
      </c>
      <c r="FK142" s="59">
        <f t="shared" si="156"/>
        <v>147.97952262756075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43.751119034109394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43.751119034109394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6">
        <f t="shared" si="110"/>
        <v>443.72869498000898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249.0000000000002</v>
      </c>
      <c r="O143" s="13">
        <f>N143*VLOOKUP('Données projet'!$B$9,Paramètres!$A$1:$I$89,3,0)*VLOOKUP('Données projet'!$B$9,Paramètres!$A$1:$I$89,5,0)</f>
        <v>217.52640000000019</v>
      </c>
      <c r="P143" s="13">
        <f t="shared" si="141"/>
        <v>53.576907690651304</v>
      </c>
      <c r="Q143" s="20">
        <f t="shared" si="108"/>
        <v>472.17159422788467</v>
      </c>
      <c r="R143" s="59">
        <f t="shared" si="109"/>
        <v>765.50492756121798</v>
      </c>
      <c r="S143" s="59">
        <f ca="1">AVERAGE(OFFSET($R$3,0,0,'Données projet'!$E$9+1,1))-AVERAGE(OFFSET($H$3,0,0,'Données projet'!$E$9+1,1))</f>
        <v>253.73326067725128</v>
      </c>
      <c r="T143" s="59">
        <f t="shared" si="142"/>
        <v>317.76427047458026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15.612678385126422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15.612678385126422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732.99999999999966</v>
      </c>
      <c r="AJ143" s="13">
        <f>AI143*VLOOKUP('Données projet'!$B$10,Paramètres!$A$1:$I$89,3,0)*VLOOKUP('Données projet'!$B$10,Paramètres!$A$1:$I$89,5,0)</f>
        <v>352.57299999999987</v>
      </c>
      <c r="AK143" s="13">
        <f t="shared" si="143"/>
        <v>82.092092597941644</v>
      </c>
      <c r="AL143" s="20">
        <f t="shared" si="112"/>
        <v>757.04170294141477</v>
      </c>
      <c r="AM143" s="59">
        <f t="shared" si="113"/>
        <v>1050.375036274748</v>
      </c>
      <c r="AN143" s="59">
        <f ca="1">AVERAGE(OFFSET($AM$3,0,0,'Données projet'!$E$10+1,1))-AVERAGE(OFFSET($H$3,0,0,'Données projet'!$E$10+1,1))</f>
        <v>349.65790906807746</v>
      </c>
      <c r="AO143" s="59">
        <f t="shared" si="144"/>
        <v>291.88925884278888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38.553991391942219</v>
      </c>
      <c r="AV143" s="21">
        <f>EXP(-LN(2)/25)*AV142+(1-EXP(-LN(2)/25))/(LN(2)/25)*Calculateur!AQ143*Calculateur!AS143*VLOOKUP('Données projet'!$B$10,Paramètres!$A$1:$I$89,3,0)*0.475*44/12</f>
        <v>1.9511954964106639</v>
      </c>
      <c r="AW143" s="21">
        <f>EXP(-LN(2)/2)*AW142+(1-EXP(-LN(2)/2))/(LN(2)/2)*AQ143*AT143*VLOOKUP('Données projet'!$B$10,Paramètres!$A$1:$I$89,3,0)*0.475*44/12</f>
        <v>1.4171053266005566E-18</v>
      </c>
      <c r="AX143" s="21">
        <f t="shared" si="114"/>
        <v>40.505186888352881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319</v>
      </c>
      <c r="BE143" s="13">
        <f>BD143*VLOOKUP('Données projet'!$B$11,Paramètres!$A$1:$I$89,3,0)*VLOOKUP('Données projet'!$B$11,Paramètres!$A$1:$I$89,5,0)</f>
        <v>253.79640000000001</v>
      </c>
      <c r="BF143" s="13">
        <f t="shared" si="145"/>
        <v>61.39816832228076</v>
      </c>
      <c r="BG143" s="20">
        <f t="shared" si="115"/>
        <v>548.96387316130563</v>
      </c>
      <c r="BH143" s="59">
        <f t="shared" si="116"/>
        <v>842.29720649463889</v>
      </c>
      <c r="BI143" s="59">
        <f ca="1">AVERAGE(OFFSET($BH$3,0,0,'Données projet'!$E$11+1,1))-AVERAGE(OFFSET($H$3,0,0,'Données projet'!$E$11+1,1))</f>
        <v>279.49721661620544</v>
      </c>
      <c r="BJ143" s="59">
        <f t="shared" si="146"/>
        <v>275.18739333988754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16.203201914754931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16.203201914754931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266.99999999999983</v>
      </c>
      <c r="BZ143" s="13">
        <f>BY143*VLOOKUP('Données projet'!$B$12,Paramètres!$A$1:$I$89,3,0)*VLOOKUP('Données projet'!$B$12,Paramètres!$A$1:$I$89,5,0)</f>
        <v>258.24239999999986</v>
      </c>
      <c r="CA143" s="13">
        <f t="shared" si="147"/>
        <v>62.347580891234152</v>
      </c>
      <c r="CB143" s="20">
        <f t="shared" si="118"/>
        <v>558.3608833855659</v>
      </c>
      <c r="CC143" s="59">
        <f t="shared" si="119"/>
        <v>851.69421671889927</v>
      </c>
      <c r="CD143" s="59">
        <f ca="1">AVERAGE(OFFSET($CC$3,0,0,'Données projet'!$E$12+1,1))-AVERAGE(OFFSET($H$3,0,0,'Données projet'!$E$12+1,1))</f>
        <v>281.84871057356037</v>
      </c>
      <c r="CE143" s="59">
        <f t="shared" si="148"/>
        <v>276.02211904126887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13.041275419154434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13.041275419154434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319</v>
      </c>
      <c r="CU143" s="17">
        <f>CT143*VLOOKUP('Données projet'!$B$13,Paramètres!$A$1:$I$89,3,0)*VLOOKUP('Données projet'!$B$13,Paramètres!$A$1:$I$89,5,0)</f>
        <v>253.79640000000001</v>
      </c>
      <c r="CV143" s="13">
        <f t="shared" si="149"/>
        <v>61.39816832228076</v>
      </c>
      <c r="CW143" s="20">
        <f t="shared" si="121"/>
        <v>548.96387316130563</v>
      </c>
      <c r="CX143" s="59">
        <f t="shared" si="122"/>
        <v>842.29720649463889</v>
      </c>
      <c r="CY143" s="59">
        <f ca="1">AVERAGE(OFFSET($CX$3,0,0,'Données projet'!$E$13+1,1))-AVERAGE(OFFSET($H$3,0,0,'Données projet'!$E$13+1,1))</f>
        <v>279.49721661620544</v>
      </c>
      <c r="CZ143" s="59">
        <f t="shared" si="150"/>
        <v>275.18739333988754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16.203201914754931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16.203201914754931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267</v>
      </c>
      <c r="DP143" s="17">
        <f>DO143*VLOOKUP('Données projet'!$B$14,Paramètres!$A$1:$I$89,3,0)*VLOOKUP('Données projet'!$B$14,Paramètres!$A$1:$I$89,5,0)</f>
        <v>270.738</v>
      </c>
      <c r="DQ143" s="13">
        <f t="shared" si="151"/>
        <v>65.005866623551711</v>
      </c>
      <c r="DR143" s="20">
        <f t="shared" si="124"/>
        <v>584.7539010360191</v>
      </c>
      <c r="DS143" s="59">
        <f t="shared" si="125"/>
        <v>878.08723436935247</v>
      </c>
      <c r="DT143" s="59">
        <f ca="1">AVERAGE(OFFSET($DS$3,0,0,'Données projet'!$E$14+1,1))-AVERAGE(OFFSET($H$3,0,0,'Données projet'!$E$14+1,1))</f>
        <v>308.80022073574963</v>
      </c>
      <c r="DU143" s="59">
        <f t="shared" si="152"/>
        <v>183.96267407004115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51.6306871833496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51.6306871833496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266.99999999999983</v>
      </c>
      <c r="EK143" s="17">
        <f>EJ143*VLOOKUP('Données projet'!$B$15,Paramètres!$A$1:$I$89,3,0)*VLOOKUP('Données projet'!$B$15,Paramètres!$A$1:$I$89,5,0)</f>
        <v>174.93839999999989</v>
      </c>
      <c r="EL143" s="13">
        <f t="shared" si="153"/>
        <v>44.194210865203175</v>
      </c>
      <c r="EM143" s="20">
        <f t="shared" si="127"/>
        <v>381.65596392356196</v>
      </c>
      <c r="EN143" s="59">
        <f t="shared" si="128"/>
        <v>674.98929725689527</v>
      </c>
      <c r="EO143" s="59">
        <f ca="1">AVERAGE(OFFSET($EN$3,0,0,'Données projet'!$E$15+1,1))-AVERAGE(OFFSET($H$3,0,0,'Données projet'!$E$15+1,1))</f>
        <v>178.71569711875242</v>
      </c>
      <c r="EP143" s="59">
        <f t="shared" si="154"/>
        <v>178.13848582064168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8.8344123807175166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8.8344123807175166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267</v>
      </c>
      <c r="FF143" s="17">
        <f>FE143*VLOOKUP('Données projet'!$B$16,Paramètres!$A$1:$I$89,3,0)*VLOOKUP('Données projet'!$B$16,Paramètres!$A$1:$I$89,5,0)</f>
        <v>224.92080000000001</v>
      </c>
      <c r="FG143" s="13">
        <f t="shared" si="155"/>
        <v>55.1830164775604</v>
      </c>
      <c r="FH143" s="20">
        <f t="shared" si="130"/>
        <v>487.84748036508444</v>
      </c>
      <c r="FI143" s="59">
        <f t="shared" si="131"/>
        <v>781.18081369841775</v>
      </c>
      <c r="FJ143" s="59">
        <f ca="1">AVERAGE(OFFSET($FI$3,0,0,'Données projet'!$E$16+1,1))-AVERAGE(OFFSET($H$3,0,0,'Données projet'!$E$16+1,1))</f>
        <v>247.22536892257716</v>
      </c>
      <c r="FK143" s="59">
        <f t="shared" si="156"/>
        <v>147.97952262756075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42.893186275398143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42.893186275398143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6">
        <f t="shared" si="110"/>
        <v>444.7753310461668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249.0000000000002</v>
      </c>
      <c r="O144" s="13">
        <f>N144*VLOOKUP('Données projet'!$B$9,Paramètres!$A$1:$I$89,3,0)*VLOOKUP('Données projet'!$B$9,Paramètres!$A$1:$I$89,5,0)</f>
        <v>217.52640000000019</v>
      </c>
      <c r="P144" s="13">
        <f t="shared" si="141"/>
        <v>53.576907690651304</v>
      </c>
      <c r="Q144" s="20">
        <f t="shared" si="108"/>
        <v>472.17159422788467</v>
      </c>
      <c r="R144" s="59">
        <f t="shared" si="109"/>
        <v>765.50492756121798</v>
      </c>
      <c r="S144" s="59">
        <f ca="1">AVERAGE(OFFSET($R$3,0,0,'Données projet'!$E$9+1,1))-AVERAGE(OFFSET($H$3,0,0,'Données projet'!$E$9+1,1))</f>
        <v>253.73326067725128</v>
      </c>
      <c r="T144" s="59">
        <f t="shared" si="142"/>
        <v>317.76427047458026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15.306523284787611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15.306523284787611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732.99999999999966</v>
      </c>
      <c r="AJ144" s="13">
        <f>AI144*VLOOKUP('Données projet'!$B$10,Paramètres!$A$1:$I$89,3,0)*VLOOKUP('Données projet'!$B$10,Paramètres!$A$1:$I$89,5,0)</f>
        <v>352.57299999999987</v>
      </c>
      <c r="AK144" s="13">
        <f t="shared" si="143"/>
        <v>82.092092597941644</v>
      </c>
      <c r="AL144" s="20">
        <f t="shared" si="112"/>
        <v>757.04170294141477</v>
      </c>
      <c r="AM144" s="59">
        <f t="shared" si="113"/>
        <v>1050.375036274748</v>
      </c>
      <c r="AN144" s="59">
        <f ca="1">AVERAGE(OFFSET($AM$3,0,0,'Données projet'!$E$10+1,1))-AVERAGE(OFFSET($H$3,0,0,'Données projet'!$E$10+1,1))</f>
        <v>349.65790906807746</v>
      </c>
      <c r="AO144" s="59">
        <f t="shared" si="144"/>
        <v>291.88925884278888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37.79797113635901</v>
      </c>
      <c r="AV144" s="21">
        <f>EXP(-LN(2)/25)*AV143+(1-EXP(-LN(2)/25))/(LN(2)/25)*Calculateur!AQ144*Calculateur!AS144*VLOOKUP('Données projet'!$B$10,Paramètres!$A$1:$I$89,3,0)*0.475*44/12</f>
        <v>1.8978399529524026</v>
      </c>
      <c r="AW144" s="21">
        <f>EXP(-LN(2)/2)*AW143+(1-EXP(-LN(2)/2))/(LN(2)/2)*AQ144*AT144*VLOOKUP('Données projet'!$B$10,Paramètres!$A$1:$I$89,3,0)*0.475*44/12</f>
        <v>1.0020447860948307E-18</v>
      </c>
      <c r="AX144" s="21">
        <f t="shared" si="114"/>
        <v>39.695811089311412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319</v>
      </c>
      <c r="BE144" s="13">
        <f>BD144*VLOOKUP('Données projet'!$B$11,Paramètres!$A$1:$I$89,3,0)*VLOOKUP('Données projet'!$B$11,Paramètres!$A$1:$I$89,5,0)</f>
        <v>253.79640000000001</v>
      </c>
      <c r="BF144" s="13">
        <f t="shared" si="145"/>
        <v>61.39816832228076</v>
      </c>
      <c r="BG144" s="20">
        <f t="shared" si="115"/>
        <v>548.96387316130563</v>
      </c>
      <c r="BH144" s="59">
        <f t="shared" si="116"/>
        <v>842.29720649463889</v>
      </c>
      <c r="BI144" s="59">
        <f ca="1">AVERAGE(OFFSET($BH$3,0,0,'Données projet'!$E$11+1,1))-AVERAGE(OFFSET($H$3,0,0,'Données projet'!$E$11+1,1))</f>
        <v>279.49721661620544</v>
      </c>
      <c r="BJ144" s="59">
        <f t="shared" si="146"/>
        <v>275.18739333988754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15.885467008183893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15.885467008183893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266.99999999999983</v>
      </c>
      <c r="BZ144" s="13">
        <f>BY144*VLOOKUP('Données projet'!$B$12,Paramètres!$A$1:$I$89,3,0)*VLOOKUP('Données projet'!$B$12,Paramètres!$A$1:$I$89,5,0)</f>
        <v>258.24239999999986</v>
      </c>
      <c r="CA144" s="13">
        <f t="shared" si="147"/>
        <v>62.347580891234152</v>
      </c>
      <c r="CB144" s="20">
        <f t="shared" si="118"/>
        <v>558.3608833855659</v>
      </c>
      <c r="CC144" s="59">
        <f t="shared" si="119"/>
        <v>851.69421671889927</v>
      </c>
      <c r="CD144" s="59">
        <f ca="1">AVERAGE(OFFSET($CC$3,0,0,'Données projet'!$E$12+1,1))-AVERAGE(OFFSET($H$3,0,0,'Données projet'!$E$12+1,1))</f>
        <v>281.84871057356037</v>
      </c>
      <c r="CE144" s="59">
        <f t="shared" si="148"/>
        <v>276.02211904126887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12.785543962577391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12.785543962577391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319</v>
      </c>
      <c r="CU144" s="17">
        <f>CT144*VLOOKUP('Données projet'!$B$13,Paramètres!$A$1:$I$89,3,0)*VLOOKUP('Données projet'!$B$13,Paramètres!$A$1:$I$89,5,0)</f>
        <v>253.79640000000001</v>
      </c>
      <c r="CV144" s="13">
        <f t="shared" si="149"/>
        <v>61.39816832228076</v>
      </c>
      <c r="CW144" s="20">
        <f t="shared" si="121"/>
        <v>548.96387316130563</v>
      </c>
      <c r="CX144" s="59">
        <f t="shared" si="122"/>
        <v>842.29720649463889</v>
      </c>
      <c r="CY144" s="59">
        <f ca="1">AVERAGE(OFFSET($CX$3,0,0,'Données projet'!$E$13+1,1))-AVERAGE(OFFSET($H$3,0,0,'Données projet'!$E$13+1,1))</f>
        <v>279.49721661620544</v>
      </c>
      <c r="CZ144" s="59">
        <f t="shared" si="150"/>
        <v>275.18739333988754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15.885467008183893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15.885467008183893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267</v>
      </c>
      <c r="DP144" s="17">
        <f>DO144*VLOOKUP('Données projet'!$B$14,Paramètres!$A$1:$I$89,3,0)*VLOOKUP('Données projet'!$B$14,Paramètres!$A$1:$I$89,5,0)</f>
        <v>270.738</v>
      </c>
      <c r="DQ144" s="13">
        <f t="shared" si="151"/>
        <v>65.005866623551711</v>
      </c>
      <c r="DR144" s="20">
        <f t="shared" si="124"/>
        <v>584.7539010360191</v>
      </c>
      <c r="DS144" s="59">
        <f t="shared" si="125"/>
        <v>878.08723436935247</v>
      </c>
      <c r="DT144" s="59">
        <f ca="1">AVERAGE(OFFSET($DS$3,0,0,'Données projet'!$E$14+1,1))-AVERAGE(OFFSET($H$3,0,0,'Données projet'!$E$14+1,1))</f>
        <v>308.80022073574963</v>
      </c>
      <c r="DU144" s="59">
        <f t="shared" si="152"/>
        <v>183.96267407004115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50.61824089929376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50.61824089929376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266.99999999999983</v>
      </c>
      <c r="EK144" s="17">
        <f>EJ144*VLOOKUP('Données projet'!$B$15,Paramètres!$A$1:$I$89,3,0)*VLOOKUP('Données projet'!$B$15,Paramètres!$A$1:$I$89,5,0)</f>
        <v>174.93839999999989</v>
      </c>
      <c r="EL144" s="13">
        <f t="shared" si="153"/>
        <v>44.194210865203175</v>
      </c>
      <c r="EM144" s="20">
        <f t="shared" si="127"/>
        <v>381.65596392356196</v>
      </c>
      <c r="EN144" s="59">
        <f t="shared" si="128"/>
        <v>674.98929725689527</v>
      </c>
      <c r="EO144" s="59">
        <f ca="1">AVERAGE(OFFSET($EN$3,0,0,'Données projet'!$E$15+1,1))-AVERAGE(OFFSET($H$3,0,0,'Données projet'!$E$15+1,1))</f>
        <v>178.71569711875242</v>
      </c>
      <c r="EP144" s="59">
        <f t="shared" si="154"/>
        <v>178.13848582064168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8.6611749423911313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8.6611749423911313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267</v>
      </c>
      <c r="FF144" s="17">
        <f>FE144*VLOOKUP('Données projet'!$B$16,Paramètres!$A$1:$I$89,3,0)*VLOOKUP('Données projet'!$B$16,Paramètres!$A$1:$I$89,5,0)</f>
        <v>224.92080000000001</v>
      </c>
      <c r="FG144" s="13">
        <f t="shared" si="155"/>
        <v>55.1830164775604</v>
      </c>
      <c r="FH144" s="20">
        <f t="shared" si="130"/>
        <v>487.84748036508444</v>
      </c>
      <c r="FI144" s="59">
        <f t="shared" si="131"/>
        <v>781.18081369841775</v>
      </c>
      <c r="FJ144" s="59">
        <f ca="1">AVERAGE(OFFSET($FI$3,0,0,'Données projet'!$E$16+1,1))-AVERAGE(OFFSET($H$3,0,0,'Données projet'!$E$16+1,1))</f>
        <v>247.22536892257716</v>
      </c>
      <c r="FK144" s="59">
        <f t="shared" si="156"/>
        <v>147.97952262756075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42.052077054797905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42.052077054797905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6">
        <f t="shared" si="110"/>
        <v>445.82179473296389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249.0000000000002</v>
      </c>
      <c r="O145" s="13">
        <f>N145*VLOOKUP('Données projet'!$B$9,Paramètres!$A$1:$I$89,3,0)*VLOOKUP('Données projet'!$B$9,Paramètres!$A$1:$I$89,5,0)</f>
        <v>217.52640000000019</v>
      </c>
      <c r="P145" s="13">
        <f t="shared" si="141"/>
        <v>53.576907690651304</v>
      </c>
      <c r="Q145" s="20">
        <f t="shared" si="108"/>
        <v>472.17159422788467</v>
      </c>
      <c r="R145" s="59">
        <f t="shared" si="109"/>
        <v>765.50492756121798</v>
      </c>
      <c r="S145" s="59">
        <f ca="1">AVERAGE(OFFSET($R$3,0,0,'Données projet'!$E$9+1,1))-AVERAGE(OFFSET($H$3,0,0,'Données projet'!$E$9+1,1))</f>
        <v>253.73326067725128</v>
      </c>
      <c r="T145" s="59">
        <f t="shared" si="142"/>
        <v>317.76427047458026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15.00637169923027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15.00637169923027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732.99999999999966</v>
      </c>
      <c r="AJ145" s="13">
        <f>AI145*VLOOKUP('Données projet'!$B$10,Paramètres!$A$1:$I$89,3,0)*VLOOKUP('Données projet'!$B$10,Paramètres!$A$1:$I$89,5,0)</f>
        <v>352.57299999999987</v>
      </c>
      <c r="AK145" s="13">
        <f t="shared" si="143"/>
        <v>82.092092597941644</v>
      </c>
      <c r="AL145" s="20">
        <f t="shared" si="112"/>
        <v>757.04170294141477</v>
      </c>
      <c r="AM145" s="59">
        <f t="shared" si="113"/>
        <v>1050.375036274748</v>
      </c>
      <c r="AN145" s="59">
        <f ca="1">AVERAGE(OFFSET($AM$3,0,0,'Données projet'!$E$10+1,1))-AVERAGE(OFFSET($H$3,0,0,'Données projet'!$E$10+1,1))</f>
        <v>349.65790906807746</v>
      </c>
      <c r="AO145" s="59">
        <f t="shared" si="144"/>
        <v>291.88925884278888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37.056775976860962</v>
      </c>
      <c r="AV145" s="21">
        <f>EXP(-LN(2)/25)*AV144+(1-EXP(-LN(2)/25))/(LN(2)/25)*Calculateur!AQ145*Calculateur!AS145*VLOOKUP('Données projet'!$B$10,Paramètres!$A$1:$I$89,3,0)*0.475*44/12</f>
        <v>1.8459434196358535</v>
      </c>
      <c r="AW145" s="21">
        <f>EXP(-LN(2)/2)*AW144+(1-EXP(-LN(2)/2))/(LN(2)/2)*AQ145*AT145*VLOOKUP('Données projet'!$B$10,Paramètres!$A$1:$I$89,3,0)*0.475*44/12</f>
        <v>7.0855266330027831E-19</v>
      </c>
      <c r="AX145" s="21">
        <f t="shared" si="114"/>
        <v>38.902719396496813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319</v>
      </c>
      <c r="BE145" s="13">
        <f>BD145*VLOOKUP('Données projet'!$B$11,Paramètres!$A$1:$I$89,3,0)*VLOOKUP('Données projet'!$B$11,Paramètres!$A$1:$I$89,5,0)</f>
        <v>253.79640000000001</v>
      </c>
      <c r="BF145" s="13">
        <f t="shared" si="145"/>
        <v>61.39816832228076</v>
      </c>
      <c r="BG145" s="20">
        <f t="shared" si="115"/>
        <v>548.96387316130563</v>
      </c>
      <c r="BH145" s="59">
        <f t="shared" si="116"/>
        <v>842.29720649463889</v>
      </c>
      <c r="BI145" s="59">
        <f ca="1">AVERAGE(OFFSET($BH$3,0,0,'Données projet'!$E$11+1,1))-AVERAGE(OFFSET($H$3,0,0,'Données projet'!$E$11+1,1))</f>
        <v>279.49721661620544</v>
      </c>
      <c r="BJ145" s="59">
        <f t="shared" si="146"/>
        <v>275.18739333988754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15.573962689331555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15.573962689331555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266.99999999999983</v>
      </c>
      <c r="BZ145" s="13">
        <f>BY145*VLOOKUP('Données projet'!$B$12,Paramètres!$A$1:$I$89,3,0)*VLOOKUP('Données projet'!$B$12,Paramètres!$A$1:$I$89,5,0)</f>
        <v>258.24239999999986</v>
      </c>
      <c r="CA145" s="13">
        <f t="shared" si="147"/>
        <v>62.347580891234152</v>
      </c>
      <c r="CB145" s="20">
        <f t="shared" si="118"/>
        <v>558.3608833855659</v>
      </c>
      <c r="CC145" s="59">
        <f t="shared" si="119"/>
        <v>851.69421671889927</v>
      </c>
      <c r="CD145" s="59">
        <f ca="1">AVERAGE(OFFSET($CC$3,0,0,'Données projet'!$E$12+1,1))-AVERAGE(OFFSET($H$3,0,0,'Données projet'!$E$12+1,1))</f>
        <v>281.84871057356037</v>
      </c>
      <c r="CE145" s="59">
        <f t="shared" si="148"/>
        <v>276.02211904126887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12.534827243883036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12.534827243883036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319</v>
      </c>
      <c r="CU145" s="17">
        <f>CT145*VLOOKUP('Données projet'!$B$13,Paramètres!$A$1:$I$89,3,0)*VLOOKUP('Données projet'!$B$13,Paramètres!$A$1:$I$89,5,0)</f>
        <v>253.79640000000001</v>
      </c>
      <c r="CV145" s="13">
        <f t="shared" si="149"/>
        <v>61.39816832228076</v>
      </c>
      <c r="CW145" s="20">
        <f t="shared" si="121"/>
        <v>548.96387316130563</v>
      </c>
      <c r="CX145" s="59">
        <f t="shared" si="122"/>
        <v>842.29720649463889</v>
      </c>
      <c r="CY145" s="59">
        <f ca="1">AVERAGE(OFFSET($CX$3,0,0,'Données projet'!$E$13+1,1))-AVERAGE(OFFSET($H$3,0,0,'Données projet'!$E$13+1,1))</f>
        <v>279.49721661620544</v>
      </c>
      <c r="CZ145" s="59">
        <f t="shared" si="150"/>
        <v>275.18739333988754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15.573962689331555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15.573962689331555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267</v>
      </c>
      <c r="DP145" s="17">
        <f>DO145*VLOOKUP('Données projet'!$B$14,Paramètres!$A$1:$I$89,3,0)*VLOOKUP('Données projet'!$B$14,Paramètres!$A$1:$I$89,5,0)</f>
        <v>270.738</v>
      </c>
      <c r="DQ145" s="13">
        <f t="shared" si="151"/>
        <v>65.005866623551711</v>
      </c>
      <c r="DR145" s="20">
        <f t="shared" si="124"/>
        <v>584.7539010360191</v>
      </c>
      <c r="DS145" s="59">
        <f t="shared" si="125"/>
        <v>878.08723436935247</v>
      </c>
      <c r="DT145" s="59">
        <f ca="1">AVERAGE(OFFSET($DS$3,0,0,'Données projet'!$E$14+1,1))-AVERAGE(OFFSET($H$3,0,0,'Données projet'!$E$14+1,1))</f>
        <v>308.80022073574963</v>
      </c>
      <c r="DU145" s="59">
        <f t="shared" si="152"/>
        <v>183.96267407004115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49.625648069336997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49.625648069336997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266.99999999999983</v>
      </c>
      <c r="EK145" s="17">
        <f>EJ145*VLOOKUP('Données projet'!$B$15,Paramètres!$A$1:$I$89,3,0)*VLOOKUP('Données projet'!$B$15,Paramètres!$A$1:$I$89,5,0)</f>
        <v>174.93839999999989</v>
      </c>
      <c r="EL145" s="13">
        <f t="shared" si="153"/>
        <v>44.194210865203175</v>
      </c>
      <c r="EM145" s="20">
        <f t="shared" si="127"/>
        <v>381.65596392356196</v>
      </c>
      <c r="EN145" s="59">
        <f t="shared" si="128"/>
        <v>674.98929725689527</v>
      </c>
      <c r="EO145" s="59">
        <f ca="1">AVERAGE(OFFSET($EN$3,0,0,'Données projet'!$E$15+1,1))-AVERAGE(OFFSET($H$3,0,0,'Données projet'!$E$15+1,1))</f>
        <v>178.71569711875242</v>
      </c>
      <c r="EP145" s="59">
        <f t="shared" si="154"/>
        <v>178.13848582064168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8.4913345845659229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8.4913345845659229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267</v>
      </c>
      <c r="FF145" s="17">
        <f>FE145*VLOOKUP('Données projet'!$B$16,Paramètres!$A$1:$I$89,3,0)*VLOOKUP('Données projet'!$B$16,Paramètres!$A$1:$I$89,5,0)</f>
        <v>224.92080000000001</v>
      </c>
      <c r="FG145" s="13">
        <f t="shared" si="155"/>
        <v>55.1830164775604</v>
      </c>
      <c r="FH145" s="20">
        <f t="shared" si="130"/>
        <v>487.84748036508444</v>
      </c>
      <c r="FI145" s="59">
        <f t="shared" si="131"/>
        <v>781.18081369841775</v>
      </c>
      <c r="FJ145" s="59">
        <f ca="1">AVERAGE(OFFSET($FI$3,0,0,'Données projet'!$E$16+1,1))-AVERAGE(OFFSET($H$3,0,0,'Données projet'!$E$16+1,1))</f>
        <v>247.22536892257716</v>
      </c>
      <c r="FK145" s="59">
        <f t="shared" si="156"/>
        <v>147.97952262756075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41.22746147298767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41.22746147298767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6">
        <f t="shared" si="110"/>
        <v>446.86808739510911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249.0000000000002</v>
      </c>
      <c r="O146" s="13">
        <f>N146*VLOOKUP('Données projet'!$B$9,Paramètres!$A$1:$I$89,3,0)*VLOOKUP('Données projet'!$B$9,Paramètres!$A$1:$I$89,5,0)</f>
        <v>217.52640000000019</v>
      </c>
      <c r="P146" s="13">
        <f t="shared" si="141"/>
        <v>53.576907690651304</v>
      </c>
      <c r="Q146" s="20">
        <f t="shared" si="108"/>
        <v>472.17159422788467</v>
      </c>
      <c r="R146" s="59">
        <f t="shared" si="109"/>
        <v>765.50492756121798</v>
      </c>
      <c r="S146" s="59">
        <f ca="1">AVERAGE(OFFSET($R$3,0,0,'Données projet'!$E$9+1,1))-AVERAGE(OFFSET($H$3,0,0,'Données projet'!$E$9+1,1))</f>
        <v>253.73326067725128</v>
      </c>
      <c r="T146" s="59">
        <f t="shared" si="142"/>
        <v>317.76427047458026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14.712105903191318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14.712105903191318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732.99999999999966</v>
      </c>
      <c r="AJ146" s="13">
        <f>AI146*VLOOKUP('Données projet'!$B$10,Paramètres!$A$1:$I$89,3,0)*VLOOKUP('Données projet'!$B$10,Paramètres!$A$1:$I$89,5,0)</f>
        <v>352.57299999999987</v>
      </c>
      <c r="AK146" s="13">
        <f t="shared" si="143"/>
        <v>82.092092597941644</v>
      </c>
      <c r="AL146" s="20">
        <f t="shared" si="112"/>
        <v>757.04170294141477</v>
      </c>
      <c r="AM146" s="59">
        <f t="shared" si="113"/>
        <v>1050.375036274748</v>
      </c>
      <c r="AN146" s="59">
        <f ca="1">AVERAGE(OFFSET($AM$3,0,0,'Données projet'!$E$10+1,1))-AVERAGE(OFFSET($H$3,0,0,'Données projet'!$E$10+1,1))</f>
        <v>349.65790906807746</v>
      </c>
      <c r="AO146" s="59">
        <f t="shared" si="144"/>
        <v>291.88925884278888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36.330115202356261</v>
      </c>
      <c r="AV146" s="21">
        <f>EXP(-LN(2)/25)*AV145+(1-EXP(-LN(2)/25))/(LN(2)/25)*Calculateur!AQ146*Calculateur!AS146*VLOOKUP('Données projet'!$B$10,Paramètres!$A$1:$I$89,3,0)*0.475*44/12</f>
        <v>1.7954659997519655</v>
      </c>
      <c r="AW146" s="21">
        <f>EXP(-LN(2)/2)*AW145+(1-EXP(-LN(2)/2))/(LN(2)/2)*AQ146*AT146*VLOOKUP('Données projet'!$B$10,Paramètres!$A$1:$I$89,3,0)*0.475*44/12</f>
        <v>5.0102239304741537E-19</v>
      </c>
      <c r="AX146" s="21">
        <f t="shared" si="114"/>
        <v>38.125581202108229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319</v>
      </c>
      <c r="BE146" s="13">
        <f>BD146*VLOOKUP('Données projet'!$B$11,Paramètres!$A$1:$I$89,3,0)*VLOOKUP('Données projet'!$B$11,Paramètres!$A$1:$I$89,5,0)</f>
        <v>253.79640000000001</v>
      </c>
      <c r="BF146" s="13">
        <f t="shared" si="145"/>
        <v>61.39816832228076</v>
      </c>
      <c r="BG146" s="20">
        <f t="shared" si="115"/>
        <v>548.96387316130563</v>
      </c>
      <c r="BH146" s="59">
        <f t="shared" si="116"/>
        <v>842.29720649463889</v>
      </c>
      <c r="BI146" s="59">
        <f ca="1">AVERAGE(OFFSET($BH$3,0,0,'Données projet'!$E$11+1,1))-AVERAGE(OFFSET($H$3,0,0,'Données projet'!$E$11+1,1))</f>
        <v>279.49721661620544</v>
      </c>
      <c r="BJ146" s="59">
        <f t="shared" si="146"/>
        <v>275.18739333988754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15.268566780173037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15.268566780173037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266.99999999999983</v>
      </c>
      <c r="BZ146" s="13">
        <f>BY146*VLOOKUP('Données projet'!$B$12,Paramètres!$A$1:$I$89,3,0)*VLOOKUP('Données projet'!$B$12,Paramètres!$A$1:$I$89,5,0)</f>
        <v>258.24239999999986</v>
      </c>
      <c r="CA146" s="13">
        <f t="shared" si="147"/>
        <v>62.347580891234152</v>
      </c>
      <c r="CB146" s="20">
        <f t="shared" si="118"/>
        <v>558.3608833855659</v>
      </c>
      <c r="CC146" s="59">
        <f t="shared" si="119"/>
        <v>851.69421671889927</v>
      </c>
      <c r="CD146" s="59">
        <f ca="1">AVERAGE(OFFSET($CC$3,0,0,'Données projet'!$E$12+1,1))-AVERAGE(OFFSET($H$3,0,0,'Données projet'!$E$12+1,1))</f>
        <v>281.84871057356037</v>
      </c>
      <c r="CE146" s="59">
        <f t="shared" si="148"/>
        <v>276.02211904126887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12.28902692712018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12.28902692712018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319</v>
      </c>
      <c r="CU146" s="17">
        <f>CT146*VLOOKUP('Données projet'!$B$13,Paramètres!$A$1:$I$89,3,0)*VLOOKUP('Données projet'!$B$13,Paramètres!$A$1:$I$89,5,0)</f>
        <v>253.79640000000001</v>
      </c>
      <c r="CV146" s="13">
        <f t="shared" si="149"/>
        <v>61.39816832228076</v>
      </c>
      <c r="CW146" s="20">
        <f t="shared" si="121"/>
        <v>548.96387316130563</v>
      </c>
      <c r="CX146" s="59">
        <f t="shared" si="122"/>
        <v>842.29720649463889</v>
      </c>
      <c r="CY146" s="59">
        <f ca="1">AVERAGE(OFFSET($CX$3,0,0,'Données projet'!$E$13+1,1))-AVERAGE(OFFSET($H$3,0,0,'Données projet'!$E$13+1,1))</f>
        <v>279.49721661620544</v>
      </c>
      <c r="CZ146" s="59">
        <f t="shared" si="150"/>
        <v>275.18739333988754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15.268566780173037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15.268566780173037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267</v>
      </c>
      <c r="DP146" s="17">
        <f>DO146*VLOOKUP('Données projet'!$B$14,Paramètres!$A$1:$I$89,3,0)*VLOOKUP('Données projet'!$B$14,Paramètres!$A$1:$I$89,5,0)</f>
        <v>270.738</v>
      </c>
      <c r="DQ146" s="13">
        <f t="shared" si="151"/>
        <v>65.005866623551711</v>
      </c>
      <c r="DR146" s="20">
        <f t="shared" si="124"/>
        <v>584.7539010360191</v>
      </c>
      <c r="DS146" s="59">
        <f t="shared" si="125"/>
        <v>878.08723436935247</v>
      </c>
      <c r="DT146" s="59">
        <f ca="1">AVERAGE(OFFSET($DS$3,0,0,'Données projet'!$E$14+1,1))-AVERAGE(OFFSET($H$3,0,0,'Données projet'!$E$14+1,1))</f>
        <v>308.80022073574963</v>
      </c>
      <c r="DU146" s="59">
        <f t="shared" si="152"/>
        <v>183.96267407004115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48.652519379353841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48.652519379353841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266.99999999999983</v>
      </c>
      <c r="EK146" s="17">
        <f>EJ146*VLOOKUP('Données projet'!$B$15,Paramètres!$A$1:$I$89,3,0)*VLOOKUP('Données projet'!$B$15,Paramètres!$A$1:$I$89,5,0)</f>
        <v>174.93839999999989</v>
      </c>
      <c r="EL146" s="13">
        <f t="shared" si="153"/>
        <v>44.194210865203175</v>
      </c>
      <c r="EM146" s="20">
        <f t="shared" si="127"/>
        <v>381.65596392356196</v>
      </c>
      <c r="EN146" s="59">
        <f t="shared" si="128"/>
        <v>674.98929725689527</v>
      </c>
      <c r="EO146" s="59">
        <f ca="1">AVERAGE(OFFSET($EN$3,0,0,'Données projet'!$E$15+1,1))-AVERAGE(OFFSET($H$3,0,0,'Données projet'!$E$15+1,1))</f>
        <v>178.71569711875242</v>
      </c>
      <c r="EP146" s="59">
        <f t="shared" si="154"/>
        <v>178.13848582064168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8.3248246925652776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8.3248246925652776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267</v>
      </c>
      <c r="FF146" s="17">
        <f>FE146*VLOOKUP('Données projet'!$B$16,Paramètres!$A$1:$I$89,3,0)*VLOOKUP('Données projet'!$B$16,Paramètres!$A$1:$I$89,5,0)</f>
        <v>224.92080000000001</v>
      </c>
      <c r="FG146" s="13">
        <f t="shared" si="155"/>
        <v>55.1830164775604</v>
      </c>
      <c r="FH146" s="20">
        <f t="shared" si="130"/>
        <v>487.84748036508444</v>
      </c>
      <c r="FI146" s="59">
        <f t="shared" si="131"/>
        <v>781.18081369841775</v>
      </c>
      <c r="FJ146" s="59">
        <f ca="1">AVERAGE(OFFSET($FI$3,0,0,'Données projet'!$E$16+1,1))-AVERAGE(OFFSET($H$3,0,0,'Données projet'!$E$16+1,1))</f>
        <v>247.22536892257716</v>
      </c>
      <c r="FK146" s="59">
        <f t="shared" si="156"/>
        <v>147.97952262756075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40.419016099770893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40.419016099770893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6">
        <f t="shared" si="110"/>
        <v>447.91421036726933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249.0000000000002</v>
      </c>
      <c r="O147" s="13">
        <f>N147*VLOOKUP('Données projet'!$B$9,Paramètres!$A$1:$I$89,3,0)*VLOOKUP('Données projet'!$B$9,Paramètres!$A$1:$I$89,5,0)</f>
        <v>217.52640000000019</v>
      </c>
      <c r="P147" s="13">
        <f t="shared" si="141"/>
        <v>53.576907690651304</v>
      </c>
      <c r="Q147" s="20">
        <f t="shared" si="108"/>
        <v>472.17159422788467</v>
      </c>
      <c r="R147" s="59">
        <f t="shared" si="109"/>
        <v>765.50492756121798</v>
      </c>
      <c r="S147" s="59">
        <f ca="1">AVERAGE(OFFSET($R$3,0,0,'Données projet'!$E$9+1,1))-AVERAGE(OFFSET($H$3,0,0,'Données projet'!$E$9+1,1))</f>
        <v>253.73326067725128</v>
      </c>
      <c r="T147" s="59">
        <f t="shared" si="142"/>
        <v>317.76427047458026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14.423610479928278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14.423610479928278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732.99999999999966</v>
      </c>
      <c r="AJ147" s="13">
        <f>AI147*VLOOKUP('Données projet'!$B$10,Paramètres!$A$1:$I$89,3,0)*VLOOKUP('Données projet'!$B$10,Paramètres!$A$1:$I$89,5,0)</f>
        <v>352.57299999999987</v>
      </c>
      <c r="AK147" s="13">
        <f t="shared" si="143"/>
        <v>82.092092597941644</v>
      </c>
      <c r="AL147" s="20">
        <f t="shared" si="112"/>
        <v>757.04170294141477</v>
      </c>
      <c r="AM147" s="59">
        <f t="shared" si="113"/>
        <v>1050.375036274748</v>
      </c>
      <c r="AN147" s="59">
        <f ca="1">AVERAGE(OFFSET($AM$3,0,0,'Données projet'!$E$10+1,1))-AVERAGE(OFFSET($H$3,0,0,'Données projet'!$E$10+1,1))</f>
        <v>349.65790906807746</v>
      </c>
      <c r="AO147" s="59">
        <f t="shared" si="144"/>
        <v>291.88925884278888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35.617703802420287</v>
      </c>
      <c r="AV147" s="21">
        <f>EXP(-LN(2)/25)*AV146+(1-EXP(-LN(2)/25))/(LN(2)/25)*Calculateur!AQ147*Calculateur!AS147*VLOOKUP('Données projet'!$B$10,Paramètres!$A$1:$I$89,3,0)*0.475*44/12</f>
        <v>1.7463688875692946</v>
      </c>
      <c r="AW147" s="21">
        <f>EXP(-LN(2)/2)*AW146+(1-EXP(-LN(2)/2))/(LN(2)/2)*AQ147*AT147*VLOOKUP('Données projet'!$B$10,Paramètres!$A$1:$I$89,3,0)*0.475*44/12</f>
        <v>3.5427633165013915E-19</v>
      </c>
      <c r="AX147" s="21">
        <f t="shared" si="114"/>
        <v>37.364072689989584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319</v>
      </c>
      <c r="BE147" s="13">
        <f>BD147*VLOOKUP('Données projet'!$B$11,Paramètres!$A$1:$I$89,3,0)*VLOOKUP('Données projet'!$B$11,Paramètres!$A$1:$I$89,5,0)</f>
        <v>253.79640000000001</v>
      </c>
      <c r="BF147" s="13">
        <f t="shared" si="145"/>
        <v>61.39816832228076</v>
      </c>
      <c r="BG147" s="20">
        <f t="shared" si="115"/>
        <v>548.96387316130563</v>
      </c>
      <c r="BH147" s="59">
        <f t="shared" si="116"/>
        <v>842.29720649463889</v>
      </c>
      <c r="BI147" s="59">
        <f ca="1">AVERAGE(OFFSET($BH$3,0,0,'Données projet'!$E$11+1,1))-AVERAGE(OFFSET($H$3,0,0,'Données projet'!$E$11+1,1))</f>
        <v>279.49721661620544</v>
      </c>
      <c r="BJ147" s="59">
        <f t="shared" si="146"/>
        <v>275.18739333988754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14.969159498520007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14.969159498520007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266.99999999999983</v>
      </c>
      <c r="BZ147" s="13">
        <f>BY147*VLOOKUP('Données projet'!$B$12,Paramètres!$A$1:$I$89,3,0)*VLOOKUP('Données projet'!$B$12,Paramètres!$A$1:$I$89,5,0)</f>
        <v>258.24239999999986</v>
      </c>
      <c r="CA147" s="13">
        <f t="shared" si="147"/>
        <v>62.347580891234152</v>
      </c>
      <c r="CB147" s="20">
        <f t="shared" si="118"/>
        <v>558.3608833855659</v>
      </c>
      <c r="CC147" s="59">
        <f t="shared" si="119"/>
        <v>851.69421671889927</v>
      </c>
      <c r="CD147" s="59">
        <f ca="1">AVERAGE(OFFSET($CC$3,0,0,'Données projet'!$E$12+1,1))-AVERAGE(OFFSET($H$3,0,0,'Données projet'!$E$12+1,1))</f>
        <v>281.84871057356037</v>
      </c>
      <c r="CE147" s="59">
        <f t="shared" si="148"/>
        <v>276.02211904126887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12.048046604645652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12.048046604645652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319</v>
      </c>
      <c r="CU147" s="17">
        <f>CT147*VLOOKUP('Données projet'!$B$13,Paramètres!$A$1:$I$89,3,0)*VLOOKUP('Données projet'!$B$13,Paramètres!$A$1:$I$89,5,0)</f>
        <v>253.79640000000001</v>
      </c>
      <c r="CV147" s="13">
        <f t="shared" si="149"/>
        <v>61.39816832228076</v>
      </c>
      <c r="CW147" s="20">
        <f t="shared" si="121"/>
        <v>548.96387316130563</v>
      </c>
      <c r="CX147" s="59">
        <f t="shared" si="122"/>
        <v>842.29720649463889</v>
      </c>
      <c r="CY147" s="59">
        <f ca="1">AVERAGE(OFFSET($CX$3,0,0,'Données projet'!$E$13+1,1))-AVERAGE(OFFSET($H$3,0,0,'Données projet'!$E$13+1,1))</f>
        <v>279.49721661620544</v>
      </c>
      <c r="CZ147" s="59">
        <f t="shared" si="150"/>
        <v>275.18739333988754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14.969159498520007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14.969159498520007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267</v>
      </c>
      <c r="DP147" s="17">
        <f>DO147*VLOOKUP('Données projet'!$B$14,Paramètres!$A$1:$I$89,3,0)*VLOOKUP('Données projet'!$B$14,Paramètres!$A$1:$I$89,5,0)</f>
        <v>270.738</v>
      </c>
      <c r="DQ147" s="13">
        <f t="shared" si="151"/>
        <v>65.005866623551711</v>
      </c>
      <c r="DR147" s="20">
        <f t="shared" si="124"/>
        <v>584.7539010360191</v>
      </c>
      <c r="DS147" s="59">
        <f t="shared" si="125"/>
        <v>878.08723436935247</v>
      </c>
      <c r="DT147" s="59">
        <f ca="1">AVERAGE(OFFSET($DS$3,0,0,'Données projet'!$E$14+1,1))-AVERAGE(OFFSET($H$3,0,0,'Données projet'!$E$14+1,1))</f>
        <v>308.80022073574963</v>
      </c>
      <c r="DU147" s="59">
        <f t="shared" si="152"/>
        <v>183.96267407004115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47.698473149431358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47.698473149431358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266.99999999999983</v>
      </c>
      <c r="EK147" s="17">
        <f>EJ147*VLOOKUP('Données projet'!$B$15,Paramètres!$A$1:$I$89,3,0)*VLOOKUP('Données projet'!$B$15,Paramètres!$A$1:$I$89,5,0)</f>
        <v>174.93839999999989</v>
      </c>
      <c r="EL147" s="13">
        <f t="shared" si="153"/>
        <v>44.194210865203175</v>
      </c>
      <c r="EM147" s="20">
        <f t="shared" si="127"/>
        <v>381.65596392356196</v>
      </c>
      <c r="EN147" s="59">
        <f t="shared" si="128"/>
        <v>674.98929725689527</v>
      </c>
      <c r="EO147" s="59">
        <f ca="1">AVERAGE(OFFSET($EN$3,0,0,'Données projet'!$E$15+1,1))-AVERAGE(OFFSET($H$3,0,0,'Données projet'!$E$15+1,1))</f>
        <v>178.71569711875242</v>
      </c>
      <c r="EP147" s="59">
        <f t="shared" si="154"/>
        <v>178.13848582064168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8.1615799579857597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8.1615799579857597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267</v>
      </c>
      <c r="FF147" s="17">
        <f>FE147*VLOOKUP('Données projet'!$B$16,Paramètres!$A$1:$I$89,3,0)*VLOOKUP('Données projet'!$B$16,Paramètres!$A$1:$I$89,5,0)</f>
        <v>224.92080000000001</v>
      </c>
      <c r="FG147" s="13">
        <f t="shared" si="155"/>
        <v>55.1830164775604</v>
      </c>
      <c r="FH147" s="20">
        <f t="shared" si="130"/>
        <v>487.84748036508444</v>
      </c>
      <c r="FI147" s="59">
        <f t="shared" si="131"/>
        <v>781.18081369841775</v>
      </c>
      <c r="FJ147" s="59">
        <f ca="1">AVERAGE(OFFSET($FI$3,0,0,'Données projet'!$E$16+1,1))-AVERAGE(OFFSET($H$3,0,0,'Données projet'!$E$16+1,1))</f>
        <v>247.22536892257716</v>
      </c>
      <c r="FK147" s="59">
        <f t="shared" si="156"/>
        <v>147.97952262756075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39.626423847219911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39.626423847219911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6">
        <f t="shared" si="110"/>
        <v>448.96016496450284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249.0000000000002</v>
      </c>
      <c r="O148" s="13">
        <f>N148*VLOOKUP('Données projet'!$B$9,Paramètres!$A$1:$I$89,3,0)*VLOOKUP('Données projet'!$B$9,Paramètres!$A$1:$I$89,5,0)</f>
        <v>217.52640000000019</v>
      </c>
      <c r="P148" s="13">
        <f t="shared" si="141"/>
        <v>53.576907690651304</v>
      </c>
      <c r="Q148" s="20">
        <f t="shared" si="108"/>
        <v>472.17159422788467</v>
      </c>
      <c r="R148" s="59">
        <f t="shared" si="109"/>
        <v>765.50492756121798</v>
      </c>
      <c r="S148" s="59">
        <f ca="1">AVERAGE(OFFSET($R$3,0,0,'Données projet'!$E$9+1,1))-AVERAGE(OFFSET($H$3,0,0,'Données projet'!$E$9+1,1))</f>
        <v>253.73326067725128</v>
      </c>
      <c r="T148" s="59">
        <f t="shared" si="142"/>
        <v>317.76427047458026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14.140772275950594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14.140772275950594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732.99999999999966</v>
      </c>
      <c r="AJ148" s="13">
        <f>AI148*VLOOKUP('Données projet'!$B$10,Paramètres!$A$1:$I$89,3,0)*VLOOKUP('Données projet'!$B$10,Paramètres!$A$1:$I$89,5,0)</f>
        <v>352.57299999999987</v>
      </c>
      <c r="AK148" s="13">
        <f t="shared" si="143"/>
        <v>82.092092597941644</v>
      </c>
      <c r="AL148" s="20">
        <f t="shared" si="112"/>
        <v>757.04170294141477</v>
      </c>
      <c r="AM148" s="59">
        <f t="shared" si="113"/>
        <v>1050.375036274748</v>
      </c>
      <c r="AN148" s="59">
        <f ca="1">AVERAGE(OFFSET($AM$3,0,0,'Données projet'!$E$10+1,1))-AVERAGE(OFFSET($H$3,0,0,'Données projet'!$E$10+1,1))</f>
        <v>349.65790906807746</v>
      </c>
      <c r="AO148" s="59">
        <f t="shared" si="144"/>
        <v>291.88925884278888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34.919262355509012</v>
      </c>
      <c r="AV148" s="21">
        <f>EXP(-LN(2)/25)*AV147+(1-EXP(-LN(2)/25))/(LN(2)/25)*Calculateur!AQ148*Calculateur!AS148*VLOOKUP('Données projet'!$B$10,Paramètres!$A$1:$I$89,3,0)*0.475*44/12</f>
        <v>1.6986143385011638</v>
      </c>
      <c r="AW148" s="21">
        <f>EXP(-LN(2)/2)*AW147+(1-EXP(-LN(2)/2))/(LN(2)/2)*AQ148*AT148*VLOOKUP('Données projet'!$B$10,Paramètres!$A$1:$I$89,3,0)*0.475*44/12</f>
        <v>2.5051119652370769E-19</v>
      </c>
      <c r="AX148" s="21">
        <f t="shared" si="114"/>
        <v>36.617876694010178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319</v>
      </c>
      <c r="BE148" s="13">
        <f>BD148*VLOOKUP('Données projet'!$B$11,Paramètres!$A$1:$I$89,3,0)*VLOOKUP('Données projet'!$B$11,Paramètres!$A$1:$I$89,5,0)</f>
        <v>253.79640000000001</v>
      </c>
      <c r="BF148" s="13">
        <f t="shared" si="145"/>
        <v>61.39816832228076</v>
      </c>
      <c r="BG148" s="20">
        <f t="shared" si="115"/>
        <v>548.96387316130563</v>
      </c>
      <c r="BH148" s="59">
        <f t="shared" si="116"/>
        <v>842.29720649463889</v>
      </c>
      <c r="BI148" s="59">
        <f ca="1">AVERAGE(OFFSET($BH$3,0,0,'Données projet'!$E$11+1,1))-AVERAGE(OFFSET($H$3,0,0,'Données projet'!$E$11+1,1))</f>
        <v>279.49721661620544</v>
      </c>
      <c r="BJ148" s="59">
        <f t="shared" si="146"/>
        <v>275.18739333988754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14.675623411039783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14.675623411039783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266.99999999999983</v>
      </c>
      <c r="BZ148" s="13">
        <f>BY148*VLOOKUP('Données projet'!$B$12,Paramètres!$A$1:$I$89,3,0)*VLOOKUP('Données projet'!$B$12,Paramètres!$A$1:$I$89,5,0)</f>
        <v>258.24239999999986</v>
      </c>
      <c r="CA148" s="13">
        <f t="shared" si="147"/>
        <v>62.347580891234152</v>
      </c>
      <c r="CB148" s="20">
        <f t="shared" si="118"/>
        <v>558.3608833855659</v>
      </c>
      <c r="CC148" s="59">
        <f t="shared" si="119"/>
        <v>851.69421671889927</v>
      </c>
      <c r="CD148" s="59">
        <f ca="1">AVERAGE(OFFSET($CC$3,0,0,'Données projet'!$E$12+1,1))-AVERAGE(OFFSET($H$3,0,0,'Données projet'!$E$12+1,1))</f>
        <v>281.84871057356037</v>
      </c>
      <c r="CE148" s="59">
        <f t="shared" si="148"/>
        <v>276.02211904126887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11.811791759311367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11.811791759311367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319</v>
      </c>
      <c r="CU148" s="17">
        <f>CT148*VLOOKUP('Données projet'!$B$13,Paramètres!$A$1:$I$89,3,0)*VLOOKUP('Données projet'!$B$13,Paramètres!$A$1:$I$89,5,0)</f>
        <v>253.79640000000001</v>
      </c>
      <c r="CV148" s="13">
        <f t="shared" si="149"/>
        <v>61.39816832228076</v>
      </c>
      <c r="CW148" s="20">
        <f t="shared" si="121"/>
        <v>548.96387316130563</v>
      </c>
      <c r="CX148" s="59">
        <f t="shared" si="122"/>
        <v>842.29720649463889</v>
      </c>
      <c r="CY148" s="59">
        <f ca="1">AVERAGE(OFFSET($CX$3,0,0,'Données projet'!$E$13+1,1))-AVERAGE(OFFSET($H$3,0,0,'Données projet'!$E$13+1,1))</f>
        <v>279.49721661620544</v>
      </c>
      <c r="CZ148" s="59">
        <f t="shared" si="150"/>
        <v>275.18739333988754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14.675623411039783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14.675623411039783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267</v>
      </c>
      <c r="DP148" s="17">
        <f>DO148*VLOOKUP('Données projet'!$B$14,Paramètres!$A$1:$I$89,3,0)*VLOOKUP('Données projet'!$B$14,Paramètres!$A$1:$I$89,5,0)</f>
        <v>270.738</v>
      </c>
      <c r="DQ148" s="13">
        <f t="shared" si="151"/>
        <v>65.005866623551711</v>
      </c>
      <c r="DR148" s="20">
        <f t="shared" si="124"/>
        <v>584.7539010360191</v>
      </c>
      <c r="DS148" s="59">
        <f t="shared" si="125"/>
        <v>878.08723436935247</v>
      </c>
      <c r="DT148" s="59">
        <f ca="1">AVERAGE(OFFSET($DS$3,0,0,'Données projet'!$E$14+1,1))-AVERAGE(OFFSET($H$3,0,0,'Données projet'!$E$14+1,1))</f>
        <v>308.80022073574963</v>
      </c>
      <c r="DU148" s="59">
        <f t="shared" si="152"/>
        <v>183.96267407004115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46.763135184166913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46.763135184166913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266.99999999999983</v>
      </c>
      <c r="EK148" s="17">
        <f>EJ148*VLOOKUP('Données projet'!$B$15,Paramètres!$A$1:$I$89,3,0)*VLOOKUP('Données projet'!$B$15,Paramètres!$A$1:$I$89,5,0)</f>
        <v>174.93839999999989</v>
      </c>
      <c r="EL148" s="13">
        <f t="shared" si="153"/>
        <v>44.194210865203175</v>
      </c>
      <c r="EM148" s="20">
        <f t="shared" si="127"/>
        <v>381.65596392356196</v>
      </c>
      <c r="EN148" s="59">
        <f t="shared" si="128"/>
        <v>674.98929725689527</v>
      </c>
      <c r="EO148" s="59">
        <f ca="1">AVERAGE(OFFSET($EN$3,0,0,'Données projet'!$E$15+1,1))-AVERAGE(OFFSET($H$3,0,0,'Données projet'!$E$15+1,1))</f>
        <v>178.71569711875242</v>
      </c>
      <c r="EP148" s="59">
        <f t="shared" si="154"/>
        <v>178.13848582064168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8.0015363530818888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8.0015363530818888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267</v>
      </c>
      <c r="FF148" s="17">
        <f>FE148*VLOOKUP('Données projet'!$B$16,Paramètres!$A$1:$I$89,3,0)*VLOOKUP('Données projet'!$B$16,Paramètres!$A$1:$I$89,5,0)</f>
        <v>224.92080000000001</v>
      </c>
      <c r="FG148" s="13">
        <f t="shared" si="155"/>
        <v>55.1830164775604</v>
      </c>
      <c r="FH148" s="20">
        <f t="shared" si="130"/>
        <v>487.84748036508444</v>
      </c>
      <c r="FI148" s="59">
        <f t="shared" si="131"/>
        <v>781.18081369841775</v>
      </c>
      <c r="FJ148" s="59">
        <f ca="1">AVERAGE(OFFSET($FI$3,0,0,'Données projet'!$E$16+1,1))-AVERAGE(OFFSET($H$3,0,0,'Données projet'!$E$16+1,1))</f>
        <v>247.22536892257716</v>
      </c>
      <c r="FK148" s="59">
        <f t="shared" si="156"/>
        <v>147.97952262756075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38.849373845307916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38.849373845307916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6">
        <f t="shared" si="110"/>
        <v>450.00595248268087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249.0000000000002</v>
      </c>
      <c r="O149" s="13">
        <f>N149*VLOOKUP('Données projet'!$B$9,Paramètres!$A$1:$I$89,3,0)*VLOOKUP('Données projet'!$B$9,Paramètres!$A$1:$I$89,5,0)</f>
        <v>217.52640000000019</v>
      </c>
      <c r="P149" s="13">
        <f t="shared" si="141"/>
        <v>53.576907690651304</v>
      </c>
      <c r="Q149" s="20">
        <f t="shared" si="108"/>
        <v>472.17159422788467</v>
      </c>
      <c r="R149" s="59">
        <f t="shared" si="109"/>
        <v>765.50492756121798</v>
      </c>
      <c r="S149" s="59">
        <f ca="1">AVERAGE(OFFSET($R$3,0,0,'Données projet'!$E$9+1,1))-AVERAGE(OFFSET($H$3,0,0,'Données projet'!$E$9+1,1))</f>
        <v>253.73326067725128</v>
      </c>
      <c r="T149" s="59">
        <f t="shared" si="142"/>
        <v>317.76427047458026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13.863480356638641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13.863480356638641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732.99999999999966</v>
      </c>
      <c r="AJ149" s="13">
        <f>AI149*VLOOKUP('Données projet'!$B$10,Paramètres!$A$1:$I$89,3,0)*VLOOKUP('Données projet'!$B$10,Paramètres!$A$1:$I$89,5,0)</f>
        <v>352.57299999999987</v>
      </c>
      <c r="AK149" s="13">
        <f t="shared" si="143"/>
        <v>82.092092597941644</v>
      </c>
      <c r="AL149" s="20">
        <f t="shared" si="112"/>
        <v>757.04170294141477</v>
      </c>
      <c r="AM149" s="59">
        <f t="shared" si="113"/>
        <v>1050.375036274748</v>
      </c>
      <c r="AN149" s="59">
        <f ca="1">AVERAGE(OFFSET($AM$3,0,0,'Données projet'!$E$10+1,1))-AVERAGE(OFFSET($H$3,0,0,'Données projet'!$E$10+1,1))</f>
        <v>349.65790906807746</v>
      </c>
      <c r="AO149" s="59">
        <f t="shared" si="144"/>
        <v>291.88925884278888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34.234516919364452</v>
      </c>
      <c r="AV149" s="21">
        <f>EXP(-LN(2)/25)*AV148+(1-EXP(-LN(2)/25))/(LN(2)/25)*Calculateur!AQ149*Calculateur!AS149*VLOOKUP('Données projet'!$B$10,Paramètres!$A$1:$I$89,3,0)*0.475*44/12</f>
        <v>1.6521656400886038</v>
      </c>
      <c r="AW149" s="21">
        <f>EXP(-LN(2)/2)*AW148+(1-EXP(-LN(2)/2))/(LN(2)/2)*AQ149*AT149*VLOOKUP('Données projet'!$B$10,Paramètres!$A$1:$I$89,3,0)*0.475*44/12</f>
        <v>1.7713816582506958E-19</v>
      </c>
      <c r="AX149" s="21">
        <f t="shared" si="114"/>
        <v>35.886682559453057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319</v>
      </c>
      <c r="BE149" s="13">
        <f>BD149*VLOOKUP('Données projet'!$B$11,Paramètres!$A$1:$I$89,3,0)*VLOOKUP('Données projet'!$B$11,Paramètres!$A$1:$I$89,5,0)</f>
        <v>253.79640000000001</v>
      </c>
      <c r="BF149" s="13">
        <f t="shared" si="145"/>
        <v>61.39816832228076</v>
      </c>
      <c r="BG149" s="20">
        <f t="shared" si="115"/>
        <v>548.96387316130563</v>
      </c>
      <c r="BH149" s="59">
        <f t="shared" si="116"/>
        <v>842.29720649463889</v>
      </c>
      <c r="BI149" s="59">
        <f ca="1">AVERAGE(OFFSET($BH$3,0,0,'Données projet'!$E$11+1,1))-AVERAGE(OFFSET($H$3,0,0,'Données projet'!$E$11+1,1))</f>
        <v>279.49721661620544</v>
      </c>
      <c r="BJ149" s="59">
        <f t="shared" si="146"/>
        <v>275.18739333988754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14.387843387195712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14.387843387195712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266.99999999999983</v>
      </c>
      <c r="BZ149" s="13">
        <f>BY149*VLOOKUP('Données projet'!$B$12,Paramètres!$A$1:$I$89,3,0)*VLOOKUP('Données projet'!$B$12,Paramètres!$A$1:$I$89,5,0)</f>
        <v>258.24239999999986</v>
      </c>
      <c r="CA149" s="13">
        <f t="shared" si="147"/>
        <v>62.347580891234152</v>
      </c>
      <c r="CB149" s="20">
        <f t="shared" si="118"/>
        <v>558.3608833855659</v>
      </c>
      <c r="CC149" s="59">
        <f t="shared" si="119"/>
        <v>851.69421671889927</v>
      </c>
      <c r="CD149" s="59">
        <f ca="1">AVERAGE(OFFSET($CC$3,0,0,'Données projet'!$E$12+1,1))-AVERAGE(OFFSET($H$3,0,0,'Données projet'!$E$12+1,1))</f>
        <v>281.84871057356037</v>
      </c>
      <c r="CE149" s="59">
        <f t="shared" si="148"/>
        <v>276.02211904126887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11.58016972739286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11.58016972739286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319</v>
      </c>
      <c r="CU149" s="17">
        <f>CT149*VLOOKUP('Données projet'!$B$13,Paramètres!$A$1:$I$89,3,0)*VLOOKUP('Données projet'!$B$13,Paramètres!$A$1:$I$89,5,0)</f>
        <v>253.79640000000001</v>
      </c>
      <c r="CV149" s="13">
        <f t="shared" si="149"/>
        <v>61.39816832228076</v>
      </c>
      <c r="CW149" s="20">
        <f t="shared" si="121"/>
        <v>548.96387316130563</v>
      </c>
      <c r="CX149" s="59">
        <f t="shared" si="122"/>
        <v>842.29720649463889</v>
      </c>
      <c r="CY149" s="59">
        <f ca="1">AVERAGE(OFFSET($CX$3,0,0,'Données projet'!$E$13+1,1))-AVERAGE(OFFSET($H$3,0,0,'Données projet'!$E$13+1,1))</f>
        <v>279.49721661620544</v>
      </c>
      <c r="CZ149" s="59">
        <f t="shared" si="150"/>
        <v>275.18739333988754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14.387843387195712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14.387843387195712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267</v>
      </c>
      <c r="DP149" s="17">
        <f>DO149*VLOOKUP('Données projet'!$B$14,Paramètres!$A$1:$I$89,3,0)*VLOOKUP('Données projet'!$B$14,Paramètres!$A$1:$I$89,5,0)</f>
        <v>270.738</v>
      </c>
      <c r="DQ149" s="13">
        <f t="shared" si="151"/>
        <v>65.005866623551711</v>
      </c>
      <c r="DR149" s="20">
        <f t="shared" si="124"/>
        <v>584.7539010360191</v>
      </c>
      <c r="DS149" s="59">
        <f t="shared" si="125"/>
        <v>878.08723436935247</v>
      </c>
      <c r="DT149" s="59">
        <f ca="1">AVERAGE(OFFSET($DS$3,0,0,'Données projet'!$E$14+1,1))-AVERAGE(OFFSET($H$3,0,0,'Données projet'!$E$14+1,1))</f>
        <v>308.80022073574963</v>
      </c>
      <c r="DU149" s="59">
        <f t="shared" si="152"/>
        <v>183.96267407004115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45.846138625901482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45.846138625901482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266.99999999999983</v>
      </c>
      <c r="EK149" s="17">
        <f>EJ149*VLOOKUP('Données projet'!$B$15,Paramètres!$A$1:$I$89,3,0)*VLOOKUP('Données projet'!$B$15,Paramètres!$A$1:$I$89,5,0)</f>
        <v>174.93839999999989</v>
      </c>
      <c r="EL149" s="13">
        <f t="shared" si="153"/>
        <v>44.194210865203175</v>
      </c>
      <c r="EM149" s="20">
        <f t="shared" si="127"/>
        <v>381.65596392356196</v>
      </c>
      <c r="EN149" s="59">
        <f t="shared" si="128"/>
        <v>674.98929725689527</v>
      </c>
      <c r="EO149" s="59">
        <f ca="1">AVERAGE(OFFSET($EN$3,0,0,'Données projet'!$E$15+1,1))-AVERAGE(OFFSET($H$3,0,0,'Données projet'!$E$15+1,1))</f>
        <v>178.71569711875242</v>
      </c>
      <c r="EP149" s="59">
        <f t="shared" si="154"/>
        <v>178.13848582064168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7.8446311056532236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7.8446311056532236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267</v>
      </c>
      <c r="FF149" s="17">
        <f>FE149*VLOOKUP('Données projet'!$B$16,Paramètres!$A$1:$I$89,3,0)*VLOOKUP('Données projet'!$B$16,Paramètres!$A$1:$I$89,5,0)</f>
        <v>224.92080000000001</v>
      </c>
      <c r="FG149" s="13">
        <f t="shared" si="155"/>
        <v>55.1830164775604</v>
      </c>
      <c r="FH149" s="20">
        <f t="shared" si="130"/>
        <v>487.84748036508444</v>
      </c>
      <c r="FI149" s="59">
        <f t="shared" si="131"/>
        <v>781.18081369841775</v>
      </c>
      <c r="FJ149" s="59">
        <f ca="1">AVERAGE(OFFSET($FI$3,0,0,'Données projet'!$E$16+1,1))-AVERAGE(OFFSET($H$3,0,0,'Données projet'!$E$16+1,1))</f>
        <v>247.22536892257716</v>
      </c>
      <c r="FK149" s="59">
        <f t="shared" si="156"/>
        <v>147.97952262756075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38.087561319979713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38.087561319979713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6">
        <f t="shared" si="110"/>
        <v>451.05157419889701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249.0000000000002</v>
      </c>
      <c r="O150" s="13">
        <f>N150*VLOOKUP('Données projet'!$B$9,Paramètres!$A$1:$I$89,3,0)*VLOOKUP('Données projet'!$B$9,Paramètres!$A$1:$I$89,5,0)</f>
        <v>217.52640000000019</v>
      </c>
      <c r="P150" s="13">
        <f t="shared" si="141"/>
        <v>53.576907690651304</v>
      </c>
      <c r="Q150" s="20">
        <f t="shared" si="108"/>
        <v>472.17159422788467</v>
      </c>
      <c r="R150" s="59">
        <f t="shared" si="109"/>
        <v>765.50492756121798</v>
      </c>
      <c r="S150" s="59">
        <f ca="1">AVERAGE(OFFSET($R$3,0,0,'Données projet'!$E$9+1,1))-AVERAGE(OFFSET($H$3,0,0,'Données projet'!$E$9+1,1))</f>
        <v>253.73326067725128</v>
      </c>
      <c r="T150" s="59">
        <f t="shared" si="142"/>
        <v>317.76427047458026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13.591625962733026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13.591625962733026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732.99999999999966</v>
      </c>
      <c r="AJ150" s="13">
        <f>AI150*VLOOKUP('Données projet'!$B$10,Paramètres!$A$1:$I$89,3,0)*VLOOKUP('Données projet'!$B$10,Paramètres!$A$1:$I$89,5,0)</f>
        <v>352.57299999999987</v>
      </c>
      <c r="AK150" s="13">
        <f t="shared" si="143"/>
        <v>82.092092597941644</v>
      </c>
      <c r="AL150" s="20">
        <f t="shared" si="112"/>
        <v>757.04170294141477</v>
      </c>
      <c r="AM150" s="59">
        <f t="shared" si="113"/>
        <v>1050.375036274748</v>
      </c>
      <c r="AN150" s="59">
        <f ca="1">AVERAGE(OFFSET($AM$3,0,0,'Données projet'!$E$10+1,1))-AVERAGE(OFFSET($H$3,0,0,'Données projet'!$E$10+1,1))</f>
        <v>349.65790906807746</v>
      </c>
      <c r="AO150" s="59">
        <f t="shared" si="144"/>
        <v>291.88925884278888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33.56319892356921</v>
      </c>
      <c r="AV150" s="21">
        <f>EXP(-LN(2)/25)*AV149+(1-EXP(-LN(2)/25))/(LN(2)/25)*Calculateur!AQ150*Calculateur!AS150*VLOOKUP('Données projet'!$B$10,Paramètres!$A$1:$I$89,3,0)*0.475*44/12</f>
        <v>1.6069870837767659</v>
      </c>
      <c r="AW150" s="21">
        <f>EXP(-LN(2)/2)*AW149+(1-EXP(-LN(2)/2))/(LN(2)/2)*AQ150*AT150*VLOOKUP('Données projet'!$B$10,Paramètres!$A$1:$I$89,3,0)*0.475*44/12</f>
        <v>1.2525559826185384E-19</v>
      </c>
      <c r="AX150" s="21">
        <f t="shared" si="114"/>
        <v>35.170186007345976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319</v>
      </c>
      <c r="BE150" s="13">
        <f>BD150*VLOOKUP('Données projet'!$B$11,Paramètres!$A$1:$I$89,3,0)*VLOOKUP('Données projet'!$B$11,Paramètres!$A$1:$I$89,5,0)</f>
        <v>253.79640000000001</v>
      </c>
      <c r="BF150" s="13">
        <f t="shared" si="145"/>
        <v>61.39816832228076</v>
      </c>
      <c r="BG150" s="20">
        <f t="shared" si="115"/>
        <v>548.96387316130563</v>
      </c>
      <c r="BH150" s="59">
        <f t="shared" si="116"/>
        <v>842.29720649463889</v>
      </c>
      <c r="BI150" s="59">
        <f ca="1">AVERAGE(OFFSET($BH$3,0,0,'Données projet'!$E$11+1,1))-AVERAGE(OFFSET($H$3,0,0,'Données projet'!$E$11+1,1))</f>
        <v>279.49721661620544</v>
      </c>
      <c r="BJ150" s="59">
        <f t="shared" si="146"/>
        <v>275.18739333988754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14.105706554090741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14.105706554090741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266.99999999999983</v>
      </c>
      <c r="BZ150" s="13">
        <f>BY150*VLOOKUP('Données projet'!$B$12,Paramètres!$A$1:$I$89,3,0)*VLOOKUP('Données projet'!$B$12,Paramètres!$A$1:$I$89,5,0)</f>
        <v>258.24239999999986</v>
      </c>
      <c r="CA150" s="13">
        <f t="shared" si="147"/>
        <v>62.347580891234152</v>
      </c>
      <c r="CB150" s="20">
        <f t="shared" si="118"/>
        <v>558.3608833855659</v>
      </c>
      <c r="CC150" s="59">
        <f t="shared" si="119"/>
        <v>851.69421671889927</v>
      </c>
      <c r="CD150" s="59">
        <f ca="1">AVERAGE(OFFSET($CC$3,0,0,'Données projet'!$E$12+1,1))-AVERAGE(OFFSET($H$3,0,0,'Données projet'!$E$12+1,1))</f>
        <v>281.84871057356037</v>
      </c>
      <c r="CE150" s="59">
        <f t="shared" si="148"/>
        <v>276.02211904126887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11.353089662244786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11.353089662244786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319</v>
      </c>
      <c r="CU150" s="17">
        <f>CT150*VLOOKUP('Données projet'!$B$13,Paramètres!$A$1:$I$89,3,0)*VLOOKUP('Données projet'!$B$13,Paramètres!$A$1:$I$89,5,0)</f>
        <v>253.79640000000001</v>
      </c>
      <c r="CV150" s="13">
        <f t="shared" si="149"/>
        <v>61.39816832228076</v>
      </c>
      <c r="CW150" s="20">
        <f t="shared" si="121"/>
        <v>548.96387316130563</v>
      </c>
      <c r="CX150" s="59">
        <f t="shared" si="122"/>
        <v>842.29720649463889</v>
      </c>
      <c r="CY150" s="59">
        <f ca="1">AVERAGE(OFFSET($CX$3,0,0,'Données projet'!$E$13+1,1))-AVERAGE(OFFSET($H$3,0,0,'Données projet'!$E$13+1,1))</f>
        <v>279.49721661620544</v>
      </c>
      <c r="CZ150" s="59">
        <f t="shared" si="150"/>
        <v>275.18739333988754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14.105706554090741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14.105706554090741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267</v>
      </c>
      <c r="DP150" s="17">
        <f>DO150*VLOOKUP('Données projet'!$B$14,Paramètres!$A$1:$I$89,3,0)*VLOOKUP('Données projet'!$B$14,Paramètres!$A$1:$I$89,5,0)</f>
        <v>270.738</v>
      </c>
      <c r="DQ150" s="13">
        <f t="shared" si="151"/>
        <v>65.005866623551711</v>
      </c>
      <c r="DR150" s="20">
        <f t="shared" si="124"/>
        <v>584.7539010360191</v>
      </c>
      <c r="DS150" s="59">
        <f t="shared" si="125"/>
        <v>878.08723436935247</v>
      </c>
      <c r="DT150" s="59">
        <f ca="1">AVERAGE(OFFSET($DS$3,0,0,'Données projet'!$E$14+1,1))-AVERAGE(OFFSET($H$3,0,0,'Données projet'!$E$14+1,1))</f>
        <v>308.80022073574963</v>
      </c>
      <c r="DU150" s="59">
        <f t="shared" si="152"/>
        <v>183.96267407004115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44.947123810830959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44.947123810830959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266.99999999999983</v>
      </c>
      <c r="EK150" s="17">
        <f>EJ150*VLOOKUP('Données projet'!$B$15,Paramètres!$A$1:$I$89,3,0)*VLOOKUP('Données projet'!$B$15,Paramètres!$A$1:$I$89,5,0)</f>
        <v>174.93839999999989</v>
      </c>
      <c r="EL150" s="13">
        <f t="shared" si="153"/>
        <v>44.194210865203175</v>
      </c>
      <c r="EM150" s="20">
        <f t="shared" si="127"/>
        <v>381.65596392356196</v>
      </c>
      <c r="EN150" s="59">
        <f t="shared" si="128"/>
        <v>674.98929725689527</v>
      </c>
      <c r="EO150" s="59">
        <f ca="1">AVERAGE(OFFSET($EN$3,0,0,'Données projet'!$E$15+1,1))-AVERAGE(OFFSET($H$3,0,0,'Données projet'!$E$15+1,1))</f>
        <v>178.71569711875242</v>
      </c>
      <c r="EP150" s="59">
        <f t="shared" si="154"/>
        <v>178.13848582064168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7.6908026744238835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7.6908026744238835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267</v>
      </c>
      <c r="FF150" s="17">
        <f>FE150*VLOOKUP('Données projet'!$B$16,Paramètres!$A$1:$I$89,3,0)*VLOOKUP('Données projet'!$B$16,Paramètres!$A$1:$I$89,5,0)</f>
        <v>224.92080000000001</v>
      </c>
      <c r="FG150" s="13">
        <f t="shared" si="155"/>
        <v>55.1830164775604</v>
      </c>
      <c r="FH150" s="20">
        <f t="shared" si="130"/>
        <v>487.84748036508444</v>
      </c>
      <c r="FI150" s="59">
        <f t="shared" si="131"/>
        <v>781.18081369841775</v>
      </c>
      <c r="FJ150" s="59">
        <f ca="1">AVERAGE(OFFSET($FI$3,0,0,'Données projet'!$E$16+1,1))-AVERAGE(OFFSET($H$3,0,0,'Données projet'!$E$16+1,1))</f>
        <v>247.22536892257716</v>
      </c>
      <c r="FK150" s="59">
        <f t="shared" si="156"/>
        <v>147.97952262756075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37.340687473613436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37.340687473613436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6">
        <f t="shared" si="110"/>
        <v>452.09703137186477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249.0000000000002</v>
      </c>
      <c r="O151" s="13">
        <f>N151*VLOOKUP('Données projet'!$B$9,Paramètres!$A$1:$I$89,3,0)*VLOOKUP('Données projet'!$B$9,Paramètres!$A$1:$I$89,5,0)</f>
        <v>217.52640000000019</v>
      </c>
      <c r="P151" s="13">
        <f t="shared" si="141"/>
        <v>53.576907690651304</v>
      </c>
      <c r="Q151" s="20">
        <f t="shared" si="108"/>
        <v>472.17159422788467</v>
      </c>
      <c r="R151" s="59">
        <f t="shared" si="109"/>
        <v>765.50492756121798</v>
      </c>
      <c r="S151" s="59">
        <f ca="1">AVERAGE(OFFSET($R$3,0,0,'Données projet'!$E$9+1,1))-AVERAGE(OFFSET($H$3,0,0,'Données projet'!$E$9+1,1))</f>
        <v>253.73326067725128</v>
      </c>
      <c r="T151" s="59">
        <f t="shared" si="142"/>
        <v>317.76427047458026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13.325102467677093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13.325102467677093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732.99999999999966</v>
      </c>
      <c r="AJ151" s="13">
        <f>AI151*VLOOKUP('Données projet'!$B$10,Paramètres!$A$1:$I$89,3,0)*VLOOKUP('Données projet'!$B$10,Paramètres!$A$1:$I$89,5,0)</f>
        <v>352.57299999999987</v>
      </c>
      <c r="AK151" s="13">
        <f t="shared" si="143"/>
        <v>82.092092597941644</v>
      </c>
      <c r="AL151" s="20">
        <f t="shared" si="112"/>
        <v>757.04170294141477</v>
      </c>
      <c r="AM151" s="59">
        <f t="shared" si="113"/>
        <v>1050.375036274748</v>
      </c>
      <c r="AN151" s="59">
        <f ca="1">AVERAGE(OFFSET($AM$3,0,0,'Données projet'!$E$10+1,1))-AVERAGE(OFFSET($H$3,0,0,'Données projet'!$E$10+1,1))</f>
        <v>349.65790906807746</v>
      </c>
      <c r="AO151" s="59">
        <f t="shared" si="144"/>
        <v>291.88925884278888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32.905045064207968</v>
      </c>
      <c r="AV151" s="21">
        <f>EXP(-LN(2)/25)*AV150+(1-EXP(-LN(2)/25))/(LN(2)/25)*Calculateur!AQ151*Calculateur!AS151*VLOOKUP('Données projet'!$B$10,Paramètres!$A$1:$I$89,3,0)*0.475*44/12</f>
        <v>1.5630439374631124</v>
      </c>
      <c r="AW151" s="21">
        <f>EXP(-LN(2)/2)*AW150+(1-EXP(-LN(2)/2))/(LN(2)/2)*AQ151*AT151*VLOOKUP('Données projet'!$B$10,Paramètres!$A$1:$I$89,3,0)*0.475*44/12</f>
        <v>8.8569082912534788E-20</v>
      </c>
      <c r="AX151" s="21">
        <f t="shared" si="114"/>
        <v>34.468089001671082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319</v>
      </c>
      <c r="BE151" s="13">
        <f>BD151*VLOOKUP('Données projet'!$B$11,Paramètres!$A$1:$I$89,3,0)*VLOOKUP('Données projet'!$B$11,Paramètres!$A$1:$I$89,5,0)</f>
        <v>253.79640000000001</v>
      </c>
      <c r="BF151" s="13">
        <f t="shared" si="145"/>
        <v>61.39816832228076</v>
      </c>
      <c r="BG151" s="20">
        <f t="shared" si="115"/>
        <v>548.96387316130563</v>
      </c>
      <c r="BH151" s="59">
        <f t="shared" si="116"/>
        <v>842.29720649463889</v>
      </c>
      <c r="BI151" s="59">
        <f ca="1">AVERAGE(OFFSET($BH$3,0,0,'Données projet'!$E$11+1,1))-AVERAGE(OFFSET($H$3,0,0,'Données projet'!$E$11+1,1))</f>
        <v>279.49721661620544</v>
      </c>
      <c r="BJ151" s="59">
        <f t="shared" si="146"/>
        <v>275.18739333988754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13.829102252196481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13.829102252196481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266.99999999999983</v>
      </c>
      <c r="BZ151" s="13">
        <f>BY151*VLOOKUP('Données projet'!$B$12,Paramètres!$A$1:$I$89,3,0)*VLOOKUP('Données projet'!$B$12,Paramètres!$A$1:$I$89,5,0)</f>
        <v>258.24239999999986</v>
      </c>
      <c r="CA151" s="13">
        <f t="shared" si="147"/>
        <v>62.347580891234152</v>
      </c>
      <c r="CB151" s="20">
        <f t="shared" si="118"/>
        <v>558.3608833855659</v>
      </c>
      <c r="CC151" s="59">
        <f t="shared" si="119"/>
        <v>851.69421671889927</v>
      </c>
      <c r="CD151" s="59">
        <f ca="1">AVERAGE(OFFSET($CC$3,0,0,'Données projet'!$E$12+1,1))-AVERAGE(OFFSET($H$3,0,0,'Données projet'!$E$12+1,1))</f>
        <v>281.84871057356037</v>
      </c>
      <c r="CE151" s="59">
        <f t="shared" si="148"/>
        <v>276.02211904126887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11.130462498669102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11.130462498669102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319</v>
      </c>
      <c r="CU151" s="17">
        <f>CT151*VLOOKUP('Données projet'!$B$13,Paramètres!$A$1:$I$89,3,0)*VLOOKUP('Données projet'!$B$13,Paramètres!$A$1:$I$89,5,0)</f>
        <v>253.79640000000001</v>
      </c>
      <c r="CV151" s="13">
        <f t="shared" si="149"/>
        <v>61.39816832228076</v>
      </c>
      <c r="CW151" s="20">
        <f t="shared" si="121"/>
        <v>548.96387316130563</v>
      </c>
      <c r="CX151" s="59">
        <f t="shared" si="122"/>
        <v>842.29720649463889</v>
      </c>
      <c r="CY151" s="59">
        <f ca="1">AVERAGE(OFFSET($CX$3,0,0,'Données projet'!$E$13+1,1))-AVERAGE(OFFSET($H$3,0,0,'Données projet'!$E$13+1,1))</f>
        <v>279.49721661620544</v>
      </c>
      <c r="CZ151" s="59">
        <f t="shared" si="150"/>
        <v>275.18739333988754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13.829102252196481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13.829102252196481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267</v>
      </c>
      <c r="DP151" s="17">
        <f>DO151*VLOOKUP('Données projet'!$B$14,Paramètres!$A$1:$I$89,3,0)*VLOOKUP('Données projet'!$B$14,Paramètres!$A$1:$I$89,5,0)</f>
        <v>270.738</v>
      </c>
      <c r="DQ151" s="13">
        <f t="shared" si="151"/>
        <v>65.005866623551711</v>
      </c>
      <c r="DR151" s="20">
        <f t="shared" si="124"/>
        <v>584.7539010360191</v>
      </c>
      <c r="DS151" s="59">
        <f t="shared" si="125"/>
        <v>878.08723436935247</v>
      </c>
      <c r="DT151" s="59">
        <f ca="1">AVERAGE(OFFSET($DS$3,0,0,'Données projet'!$E$14+1,1))-AVERAGE(OFFSET($H$3,0,0,'Données projet'!$E$14+1,1))</f>
        <v>308.80022073574963</v>
      </c>
      <c r="DU151" s="59">
        <f t="shared" si="152"/>
        <v>183.96267407004115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44.065738127939078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44.065738127939078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266.99999999999983</v>
      </c>
      <c r="EK151" s="17">
        <f>EJ151*VLOOKUP('Données projet'!$B$15,Paramètres!$A$1:$I$89,3,0)*VLOOKUP('Données projet'!$B$15,Paramètres!$A$1:$I$89,5,0)</f>
        <v>174.93839999999989</v>
      </c>
      <c r="EL151" s="13">
        <f t="shared" si="153"/>
        <v>44.194210865203175</v>
      </c>
      <c r="EM151" s="20">
        <f t="shared" si="127"/>
        <v>381.65596392356196</v>
      </c>
      <c r="EN151" s="59">
        <f t="shared" si="128"/>
        <v>674.98929725689527</v>
      </c>
      <c r="EO151" s="59">
        <f ca="1">AVERAGE(OFFSET($EN$3,0,0,'Données projet'!$E$15+1,1))-AVERAGE(OFFSET($H$3,0,0,'Données projet'!$E$15+1,1))</f>
        <v>178.71569711875242</v>
      </c>
      <c r="EP151" s="59">
        <f t="shared" si="154"/>
        <v>178.13848582064168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7.5399907249048717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7.5399907249048717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267</v>
      </c>
      <c r="FF151" s="17">
        <f>FE151*VLOOKUP('Données projet'!$B$16,Paramètres!$A$1:$I$89,3,0)*VLOOKUP('Données projet'!$B$16,Paramètres!$A$1:$I$89,5,0)</f>
        <v>224.92080000000001</v>
      </c>
      <c r="FG151" s="13">
        <f t="shared" si="155"/>
        <v>55.1830164775604</v>
      </c>
      <c r="FH151" s="20">
        <f t="shared" si="130"/>
        <v>487.84748036508444</v>
      </c>
      <c r="FI151" s="59">
        <f t="shared" si="131"/>
        <v>781.18081369841775</v>
      </c>
      <c r="FJ151" s="59">
        <f ca="1">AVERAGE(OFFSET($FI$3,0,0,'Données projet'!$E$16+1,1))-AVERAGE(OFFSET($H$3,0,0,'Données projet'!$E$16+1,1))</f>
        <v>247.22536892257716</v>
      </c>
      <c r="FK151" s="59">
        <f t="shared" si="156"/>
        <v>147.97952262756075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36.608459367826335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36.608459367826335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6">
        <f t="shared" si="110"/>
        <v>453.14232524230488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249.0000000000002</v>
      </c>
      <c r="O152" s="13">
        <f>N152*VLOOKUP('Données projet'!$B$9,Paramètres!$A$1:$I$89,3,0)*VLOOKUP('Données projet'!$B$9,Paramètres!$A$1:$I$89,5,0)</f>
        <v>217.52640000000019</v>
      </c>
      <c r="P152" s="13">
        <f t="shared" si="141"/>
        <v>53.576907690651304</v>
      </c>
      <c r="Q152" s="20">
        <f t="shared" si="108"/>
        <v>472.17159422788467</v>
      </c>
      <c r="R152" s="59">
        <f t="shared" si="109"/>
        <v>765.50492756121798</v>
      </c>
      <c r="S152" s="59">
        <f ca="1">AVERAGE(OFFSET($R$3,0,0,'Données projet'!$E$9+1,1))-AVERAGE(OFFSET($H$3,0,0,'Données projet'!$E$9+1,1))</f>
        <v>253.73326067725128</v>
      </c>
      <c r="T152" s="59">
        <f t="shared" si="142"/>
        <v>317.76427047458026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13.063805335795925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13.063805335795925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732.99999999999966</v>
      </c>
      <c r="AJ152" s="13">
        <f>AI152*VLOOKUP('Données projet'!$B$10,Paramètres!$A$1:$I$89,3,0)*VLOOKUP('Données projet'!$B$10,Paramètres!$A$1:$I$89,5,0)</f>
        <v>352.57299999999987</v>
      </c>
      <c r="AK152" s="13">
        <f t="shared" si="143"/>
        <v>82.092092597941644</v>
      </c>
      <c r="AL152" s="20">
        <f t="shared" si="112"/>
        <v>757.04170294141477</v>
      </c>
      <c r="AM152" s="59">
        <f t="shared" si="113"/>
        <v>1050.375036274748</v>
      </c>
      <c r="AN152" s="59">
        <f ca="1">AVERAGE(OFFSET($AM$3,0,0,'Données projet'!$E$10+1,1))-AVERAGE(OFFSET($H$3,0,0,'Données projet'!$E$10+1,1))</f>
        <v>349.65790906807746</v>
      </c>
      <c r="AO152" s="59">
        <f t="shared" si="144"/>
        <v>291.88925884278888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32.259797200594583</v>
      </c>
      <c r="AV152" s="21">
        <f>EXP(-LN(2)/25)*AV151+(1-EXP(-LN(2)/25))/(LN(2)/25)*Calculateur!AQ152*Calculateur!AS152*VLOOKUP('Données projet'!$B$10,Paramètres!$A$1:$I$89,3,0)*0.475*44/12</f>
        <v>1.5203024187962753</v>
      </c>
      <c r="AW152" s="21">
        <f>EXP(-LN(2)/2)*AW151+(1-EXP(-LN(2)/2))/(LN(2)/2)*AQ152*AT152*VLOOKUP('Données projet'!$B$10,Paramètres!$A$1:$I$89,3,0)*0.475*44/12</f>
        <v>6.2627799130926922E-20</v>
      </c>
      <c r="AX152" s="21">
        <f t="shared" si="114"/>
        <v>33.78009961939086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319</v>
      </c>
      <c r="BE152" s="13">
        <f>BD152*VLOOKUP('Données projet'!$B$11,Paramètres!$A$1:$I$89,3,0)*VLOOKUP('Données projet'!$B$11,Paramètres!$A$1:$I$89,5,0)</f>
        <v>253.79640000000001</v>
      </c>
      <c r="BF152" s="13">
        <f t="shared" si="145"/>
        <v>61.39816832228076</v>
      </c>
      <c r="BG152" s="20">
        <f t="shared" si="115"/>
        <v>548.96387316130563</v>
      </c>
      <c r="BH152" s="59">
        <f t="shared" si="116"/>
        <v>842.29720649463889</v>
      </c>
      <c r="BI152" s="59">
        <f ca="1">AVERAGE(OFFSET($BH$3,0,0,'Données projet'!$E$11+1,1))-AVERAGE(OFFSET($H$3,0,0,'Données projet'!$E$11+1,1))</f>
        <v>279.49721661620544</v>
      </c>
      <c r="BJ152" s="59">
        <f t="shared" si="146"/>
        <v>275.18739333988754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13.557921991950403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13.557921991950403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266.99999999999983</v>
      </c>
      <c r="BZ152" s="13">
        <f>BY152*VLOOKUP('Données projet'!$B$12,Paramètres!$A$1:$I$89,3,0)*VLOOKUP('Données projet'!$B$12,Paramètres!$A$1:$I$89,5,0)</f>
        <v>258.24239999999986</v>
      </c>
      <c r="CA152" s="13">
        <f t="shared" si="147"/>
        <v>62.347580891234152</v>
      </c>
      <c r="CB152" s="20">
        <f t="shared" si="118"/>
        <v>558.3608833855659</v>
      </c>
      <c r="CC152" s="59">
        <f t="shared" si="119"/>
        <v>851.69421671889927</v>
      </c>
      <c r="CD152" s="59">
        <f ca="1">AVERAGE(OFFSET($CC$3,0,0,'Données projet'!$E$12+1,1))-AVERAGE(OFFSET($H$3,0,0,'Données projet'!$E$12+1,1))</f>
        <v>281.84871057356037</v>
      </c>
      <c r="CE152" s="59">
        <f t="shared" si="148"/>
        <v>276.02211904126887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10.912200917981975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10.912200917981975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319</v>
      </c>
      <c r="CU152" s="17">
        <f>CT152*VLOOKUP('Données projet'!$B$13,Paramètres!$A$1:$I$89,3,0)*VLOOKUP('Données projet'!$B$13,Paramètres!$A$1:$I$89,5,0)</f>
        <v>253.79640000000001</v>
      </c>
      <c r="CV152" s="13">
        <f t="shared" si="149"/>
        <v>61.39816832228076</v>
      </c>
      <c r="CW152" s="20">
        <f t="shared" si="121"/>
        <v>548.96387316130563</v>
      </c>
      <c r="CX152" s="59">
        <f t="shared" si="122"/>
        <v>842.29720649463889</v>
      </c>
      <c r="CY152" s="59">
        <f ca="1">AVERAGE(OFFSET($CX$3,0,0,'Données projet'!$E$13+1,1))-AVERAGE(OFFSET($H$3,0,0,'Données projet'!$E$13+1,1))</f>
        <v>279.49721661620544</v>
      </c>
      <c r="CZ152" s="59">
        <f t="shared" si="150"/>
        <v>275.18739333988754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13.557921991950403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13.557921991950403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267</v>
      </c>
      <c r="DP152" s="17">
        <f>DO152*VLOOKUP('Données projet'!$B$14,Paramètres!$A$1:$I$89,3,0)*VLOOKUP('Données projet'!$B$14,Paramètres!$A$1:$I$89,5,0)</f>
        <v>270.738</v>
      </c>
      <c r="DQ152" s="13">
        <f t="shared" si="151"/>
        <v>65.005866623551711</v>
      </c>
      <c r="DR152" s="20">
        <f t="shared" si="124"/>
        <v>584.7539010360191</v>
      </c>
      <c r="DS152" s="59">
        <f t="shared" si="125"/>
        <v>878.08723436935247</v>
      </c>
      <c r="DT152" s="59">
        <f ca="1">AVERAGE(OFFSET($DS$3,0,0,'Données projet'!$E$14+1,1))-AVERAGE(OFFSET($H$3,0,0,'Données projet'!$E$14+1,1))</f>
        <v>308.80022073574963</v>
      </c>
      <c r="DU152" s="59">
        <f t="shared" si="152"/>
        <v>183.96267407004115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43.201635880696521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43.201635880696521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266.99999999999983</v>
      </c>
      <c r="EK152" s="17">
        <f>EJ152*VLOOKUP('Données projet'!$B$15,Paramètres!$A$1:$I$89,3,0)*VLOOKUP('Données projet'!$B$15,Paramètres!$A$1:$I$89,5,0)</f>
        <v>174.93839999999989</v>
      </c>
      <c r="EL152" s="13">
        <f t="shared" si="153"/>
        <v>44.194210865203175</v>
      </c>
      <c r="EM152" s="20">
        <f t="shared" si="127"/>
        <v>381.65596392356196</v>
      </c>
      <c r="EN152" s="59">
        <f t="shared" si="128"/>
        <v>674.98929725689527</v>
      </c>
      <c r="EO152" s="59">
        <f ca="1">AVERAGE(OFFSET($EN$3,0,0,'Données projet'!$E$15+1,1))-AVERAGE(OFFSET($H$3,0,0,'Données projet'!$E$15+1,1))</f>
        <v>178.71569711875242</v>
      </c>
      <c r="EP152" s="59">
        <f t="shared" si="154"/>
        <v>178.13848582064168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7.3921361057297217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7.3921361057297217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267</v>
      </c>
      <c r="FF152" s="17">
        <f>FE152*VLOOKUP('Données projet'!$B$16,Paramètres!$A$1:$I$89,3,0)*VLOOKUP('Données projet'!$B$16,Paramètres!$A$1:$I$89,5,0)</f>
        <v>224.92080000000001</v>
      </c>
      <c r="FG152" s="13">
        <f t="shared" si="155"/>
        <v>55.1830164775604</v>
      </c>
      <c r="FH152" s="20">
        <f t="shared" si="130"/>
        <v>487.84748036508444</v>
      </c>
      <c r="FI152" s="59">
        <f t="shared" si="131"/>
        <v>781.18081369841775</v>
      </c>
      <c r="FJ152" s="59">
        <f ca="1">AVERAGE(OFFSET($FI$3,0,0,'Données projet'!$E$16+1,1))-AVERAGE(OFFSET($H$3,0,0,'Données projet'!$E$16+1,1))</f>
        <v>247.22536892257716</v>
      </c>
      <c r="FK152" s="59">
        <f t="shared" si="156"/>
        <v>147.97952262756075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35.890589808578675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35.890589808578675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6">
        <f t="shared" si="110"/>
        <v>454.18745703332144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249.0000000000002</v>
      </c>
      <c r="O153" s="13">
        <f>N153*VLOOKUP('Données projet'!$B$9,Paramètres!$A$1:$I$89,3,0)*VLOOKUP('Données projet'!$B$9,Paramètres!$A$1:$I$89,5,0)</f>
        <v>217.52640000000019</v>
      </c>
      <c r="P153" s="13">
        <f t="shared" si="141"/>
        <v>53.576907690651304</v>
      </c>
      <c r="Q153" s="20">
        <f t="shared" si="108"/>
        <v>472.17159422788467</v>
      </c>
      <c r="R153" s="59">
        <f t="shared" si="109"/>
        <v>765.50492756121798</v>
      </c>
      <c r="S153" s="59">
        <f ca="1">AVERAGE(OFFSET($R$3,0,0,'Données projet'!$E$9+1,1))-AVERAGE(OFFSET($H$3,0,0,'Données projet'!$E$9+1,1))</f>
        <v>253.73326067725128</v>
      </c>
      <c r="T153" s="59">
        <f t="shared" si="142"/>
        <v>317.76427047458026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12.807632081295434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12.807632081295434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732.99999999999966</v>
      </c>
      <c r="AJ153" s="13">
        <f>AI153*VLOOKUP('Données projet'!$B$10,Paramètres!$A$1:$I$89,3,0)*VLOOKUP('Données projet'!$B$10,Paramètres!$A$1:$I$89,5,0)</f>
        <v>352.57299999999987</v>
      </c>
      <c r="AK153" s="13">
        <f t="shared" si="143"/>
        <v>82.092092597941644</v>
      </c>
      <c r="AL153" s="20">
        <f t="shared" si="112"/>
        <v>757.04170294141477</v>
      </c>
      <c r="AM153" s="59">
        <f t="shared" si="113"/>
        <v>1050.375036274748</v>
      </c>
      <c r="AN153" s="59">
        <f ca="1">AVERAGE(OFFSET($AM$3,0,0,'Données projet'!$E$10+1,1))-AVERAGE(OFFSET($H$3,0,0,'Données projet'!$E$10+1,1))</f>
        <v>349.65790906807746</v>
      </c>
      <c r="AO153" s="59">
        <f t="shared" si="144"/>
        <v>291.88925884278888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31.627202254024319</v>
      </c>
      <c r="AV153" s="21">
        <f>EXP(-LN(2)/25)*AV152+(1-EXP(-LN(2)/25))/(LN(2)/25)*Calculateur!AQ153*Calculateur!AS153*VLOOKUP('Données projet'!$B$10,Paramètres!$A$1:$I$89,3,0)*0.475*44/12</f>
        <v>1.4787296692050615</v>
      </c>
      <c r="AW153" s="21">
        <f>EXP(-LN(2)/2)*AW152+(1-EXP(-LN(2)/2))/(LN(2)/2)*AQ153*AT153*VLOOKUP('Données projet'!$B$10,Paramètres!$A$1:$I$89,3,0)*0.475*44/12</f>
        <v>4.4284541456267394E-20</v>
      </c>
      <c r="AX153" s="21">
        <f t="shared" si="114"/>
        <v>33.105931923229377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319</v>
      </c>
      <c r="BE153" s="13">
        <f>BD153*VLOOKUP('Données projet'!$B$11,Paramètres!$A$1:$I$89,3,0)*VLOOKUP('Données projet'!$B$11,Paramètres!$A$1:$I$89,5,0)</f>
        <v>253.79640000000001</v>
      </c>
      <c r="BF153" s="13">
        <f t="shared" si="145"/>
        <v>61.39816832228076</v>
      </c>
      <c r="BG153" s="20">
        <f t="shared" si="115"/>
        <v>548.96387316130563</v>
      </c>
      <c r="BH153" s="59">
        <f t="shared" si="116"/>
        <v>842.29720649463889</v>
      </c>
      <c r="BI153" s="59">
        <f ca="1">AVERAGE(OFFSET($BH$3,0,0,'Données projet'!$E$11+1,1))-AVERAGE(OFFSET($H$3,0,0,'Données projet'!$E$11+1,1))</f>
        <v>279.49721661620544</v>
      </c>
      <c r="BJ153" s="59">
        <f t="shared" si="146"/>
        <v>275.18739333988754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13.292059411204123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13.292059411204123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266.99999999999983</v>
      </c>
      <c r="BZ153" s="13">
        <f>BY153*VLOOKUP('Données projet'!$B$12,Paramètres!$A$1:$I$89,3,0)*VLOOKUP('Données projet'!$B$12,Paramètres!$A$1:$I$89,5,0)</f>
        <v>258.24239999999986</v>
      </c>
      <c r="CA153" s="13">
        <f t="shared" si="147"/>
        <v>62.347580891234152</v>
      </c>
      <c r="CB153" s="20">
        <f t="shared" si="118"/>
        <v>558.3608833855659</v>
      </c>
      <c r="CC153" s="59">
        <f t="shared" si="119"/>
        <v>851.69421671889927</v>
      </c>
      <c r="CD153" s="59">
        <f ca="1">AVERAGE(OFFSET($CC$3,0,0,'Données projet'!$E$12+1,1))-AVERAGE(OFFSET($H$3,0,0,'Données projet'!$E$12+1,1))</f>
        <v>281.84871057356037</v>
      </c>
      <c r="CE153" s="59">
        <f t="shared" si="148"/>
        <v>276.02211904126887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10.698219313765705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10.698219313765705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319</v>
      </c>
      <c r="CU153" s="17">
        <f>CT153*VLOOKUP('Données projet'!$B$13,Paramètres!$A$1:$I$89,3,0)*VLOOKUP('Données projet'!$B$13,Paramètres!$A$1:$I$89,5,0)</f>
        <v>253.79640000000001</v>
      </c>
      <c r="CV153" s="13">
        <f t="shared" si="149"/>
        <v>61.39816832228076</v>
      </c>
      <c r="CW153" s="20">
        <f t="shared" si="121"/>
        <v>548.96387316130563</v>
      </c>
      <c r="CX153" s="59">
        <f t="shared" si="122"/>
        <v>842.29720649463889</v>
      </c>
      <c r="CY153" s="59">
        <f ca="1">AVERAGE(OFFSET($CX$3,0,0,'Données projet'!$E$13+1,1))-AVERAGE(OFFSET($H$3,0,0,'Données projet'!$E$13+1,1))</f>
        <v>279.49721661620544</v>
      </c>
      <c r="CZ153" s="59">
        <f t="shared" si="150"/>
        <v>275.18739333988754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13.292059411204123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13.292059411204123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267</v>
      </c>
      <c r="DP153" s="17">
        <f>DO153*VLOOKUP('Données projet'!$B$14,Paramètres!$A$1:$I$89,3,0)*VLOOKUP('Données projet'!$B$14,Paramètres!$A$1:$I$89,5,0)</f>
        <v>270.738</v>
      </c>
      <c r="DQ153" s="13">
        <f t="shared" si="151"/>
        <v>65.005866623551711</v>
      </c>
      <c r="DR153" s="20">
        <f t="shared" si="124"/>
        <v>584.7539010360191</v>
      </c>
      <c r="DS153" s="59">
        <f t="shared" si="125"/>
        <v>878.08723436935247</v>
      </c>
      <c r="DT153" s="59">
        <f ca="1">AVERAGE(OFFSET($DS$3,0,0,'Données projet'!$E$14+1,1))-AVERAGE(OFFSET($H$3,0,0,'Données projet'!$E$14+1,1))</f>
        <v>308.80022073574963</v>
      </c>
      <c r="DU153" s="59">
        <f t="shared" si="152"/>
        <v>183.96267407004115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42.354478151472065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42.354478151472065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266.99999999999983</v>
      </c>
      <c r="EK153" s="17">
        <f>EJ153*VLOOKUP('Données projet'!$B$15,Paramètres!$A$1:$I$89,3,0)*VLOOKUP('Données projet'!$B$15,Paramètres!$A$1:$I$89,5,0)</f>
        <v>174.93839999999989</v>
      </c>
      <c r="EL153" s="13">
        <f t="shared" si="153"/>
        <v>44.194210865203175</v>
      </c>
      <c r="EM153" s="20">
        <f t="shared" si="127"/>
        <v>381.65596392356196</v>
      </c>
      <c r="EN153" s="59">
        <f t="shared" si="128"/>
        <v>674.98929725689527</v>
      </c>
      <c r="EO153" s="59">
        <f ca="1">AVERAGE(OFFSET($EN$3,0,0,'Données projet'!$E$15+1,1))-AVERAGE(OFFSET($H$3,0,0,'Données projet'!$E$15+1,1))</f>
        <v>178.71569711875242</v>
      </c>
      <c r="EP153" s="59">
        <f t="shared" si="154"/>
        <v>178.13848582064168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7.2471808254541834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7.2471808254541834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267</v>
      </c>
      <c r="FF153" s="17">
        <f>FE153*VLOOKUP('Données projet'!$B$16,Paramètres!$A$1:$I$89,3,0)*VLOOKUP('Données projet'!$B$16,Paramètres!$A$1:$I$89,5,0)</f>
        <v>224.92080000000001</v>
      </c>
      <c r="FG153" s="13">
        <f t="shared" si="155"/>
        <v>55.1830164775604</v>
      </c>
      <c r="FH153" s="20">
        <f t="shared" si="130"/>
        <v>487.84748036508444</v>
      </c>
      <c r="FI153" s="59">
        <f t="shared" si="131"/>
        <v>781.18081369841775</v>
      </c>
      <c r="FJ153" s="59">
        <f ca="1">AVERAGE(OFFSET($FI$3,0,0,'Données projet'!$E$16+1,1))-AVERAGE(OFFSET($H$3,0,0,'Données projet'!$E$16+1,1))</f>
        <v>247.22536892257716</v>
      </c>
      <c r="FK153" s="59">
        <f t="shared" si="156"/>
        <v>147.97952262756075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35.186797233530662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35.186797233530662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6">
        <f t="shared" si="110"/>
        <v>455.23242795076749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249.0000000000002</v>
      </c>
      <c r="O154" s="13">
        <f>N154*VLOOKUP('Données projet'!$B$9,Paramètres!$A$1:$I$89,3,0)*VLOOKUP('Données projet'!$B$9,Paramètres!$A$1:$I$89,5,0)</f>
        <v>217.52640000000019</v>
      </c>
      <c r="P154" s="13">
        <f t="shared" si="141"/>
        <v>53.576907690651304</v>
      </c>
      <c r="Q154" s="20">
        <f t="shared" ref="Q154:Q203" si="162">(O154+P154)*0.475*44/12</f>
        <v>472.17159422788467</v>
      </c>
      <c r="R154" s="59">
        <f t="shared" si="109"/>
        <v>765.50492756121798</v>
      </c>
      <c r="S154" s="59">
        <f ca="1">AVERAGE(OFFSET($R$3,0,0,'Données projet'!$E$9+1,1))-AVERAGE(OFFSET($H$3,0,0,'Données projet'!$E$9+1,1))</f>
        <v>253.73326067725128</v>
      </c>
      <c r="T154" s="59">
        <f t="shared" si="142"/>
        <v>317.76427047458026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12.556482228065441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12.556482228065441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732.99999999999966</v>
      </c>
      <c r="AJ154" s="13">
        <f>AI154*VLOOKUP('Données projet'!$B$10,Paramètres!$A$1:$I$89,3,0)*VLOOKUP('Données projet'!$B$10,Paramètres!$A$1:$I$89,5,0)</f>
        <v>352.57299999999987</v>
      </c>
      <c r="AK154" s="13">
        <f t="shared" ref="AK154:AK203" si="164">EXP(-1.0587+0.8836*LN(AJ154)+0.284)</f>
        <v>82.092092597941644</v>
      </c>
      <c r="AL154" s="20">
        <f t="shared" ref="AL154:AL203" si="165">(AJ154+AK154)*0.475*44/12</f>
        <v>757.04170294141477</v>
      </c>
      <c r="AM154" s="59">
        <f t="shared" si="113"/>
        <v>1050.375036274748</v>
      </c>
      <c r="AN154" s="59">
        <f ca="1">AVERAGE(OFFSET($AM$3,0,0,'Données projet'!$E$10+1,1))-AVERAGE(OFFSET($H$3,0,0,'Données projet'!$E$10+1,1))</f>
        <v>349.65790906807746</v>
      </c>
      <c r="AO154" s="59">
        <f t="shared" si="144"/>
        <v>291.88925884278888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31.007012108511478</v>
      </c>
      <c r="AV154" s="21">
        <f>EXP(-LN(2)/25)*AV153+(1-EXP(-LN(2)/25))/(LN(2)/25)*Calculateur!AQ154*Calculateur!AS154*VLOOKUP('Données projet'!$B$10,Paramètres!$A$1:$I$89,3,0)*0.475*44/12</f>
        <v>1.4382937286376356</v>
      </c>
      <c r="AW154" s="21">
        <f>EXP(-LN(2)/2)*AW153+(1-EXP(-LN(2)/2))/(LN(2)/2)*AQ154*AT154*VLOOKUP('Données projet'!$B$10,Paramètres!$A$1:$I$89,3,0)*0.475*44/12</f>
        <v>3.1313899565463461E-20</v>
      </c>
      <c r="AX154" s="21">
        <f t="shared" ref="AX154:AX203" si="166">SUM(AU154:AW154)</f>
        <v>32.445305837149114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319</v>
      </c>
      <c r="BE154" s="13">
        <f>BD154*VLOOKUP('Données projet'!$B$11,Paramètres!$A$1:$I$89,3,0)*VLOOKUP('Données projet'!$B$11,Paramètres!$A$1:$I$89,5,0)</f>
        <v>253.79640000000001</v>
      </c>
      <c r="BF154" s="13">
        <f t="shared" ref="BF154:BF203" si="167">EXP(-1.0587+0.8836*LN(BE154)+0.284)</f>
        <v>61.39816832228076</v>
      </c>
      <c r="BG154" s="20">
        <f t="shared" ref="BG154:BG203" si="168">(BE154+BF154)*0.475*44/12</f>
        <v>548.96387316130563</v>
      </c>
      <c r="BH154" s="59">
        <f t="shared" si="116"/>
        <v>842.29720649463889</v>
      </c>
      <c r="BI154" s="59">
        <f ca="1">AVERAGE(OFFSET($BH$3,0,0,'Données projet'!$E$11+1,1))-AVERAGE(OFFSET($H$3,0,0,'Données projet'!$E$11+1,1))</f>
        <v>279.49721661620544</v>
      </c>
      <c r="BJ154" s="59">
        <f t="shared" si="146"/>
        <v>275.18739333988754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13.031410233506117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13.031410233506117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266.99999999999983</v>
      </c>
      <c r="BZ154" s="13">
        <f>BY154*VLOOKUP('Données projet'!$B$12,Paramètres!$A$1:$I$89,3,0)*VLOOKUP('Données projet'!$B$12,Paramètres!$A$1:$I$89,5,0)</f>
        <v>258.24239999999986</v>
      </c>
      <c r="CA154" s="13">
        <f t="shared" ref="CA154:CA203" si="170">EXP(-1.0587+0.8836*LN(BZ154)+0.284)</f>
        <v>62.347580891234152</v>
      </c>
      <c r="CB154" s="20">
        <f t="shared" ref="CB154:CB203" si="171">(BZ154+CA154)*0.475*44/12</f>
        <v>558.3608833855659</v>
      </c>
      <c r="CC154" s="59">
        <f t="shared" si="119"/>
        <v>851.69421671889927</v>
      </c>
      <c r="CD154" s="59">
        <f ca="1">AVERAGE(OFFSET($CC$3,0,0,'Données projet'!$E$12+1,1))-AVERAGE(OFFSET($H$3,0,0,'Données projet'!$E$12+1,1))</f>
        <v>281.84871057356037</v>
      </c>
      <c r="CE154" s="59">
        <f t="shared" si="148"/>
        <v>276.02211904126887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10.488433758292224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10.488433758292224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319</v>
      </c>
      <c r="CU154" s="17">
        <f>CT154*VLOOKUP('Données projet'!$B$13,Paramètres!$A$1:$I$89,3,0)*VLOOKUP('Données projet'!$B$13,Paramètres!$A$1:$I$89,5,0)</f>
        <v>253.79640000000001</v>
      </c>
      <c r="CV154" s="13">
        <f t="shared" ref="CV154:CV203" si="173">EXP(-1.0587+0.8836*LN(CU154)+0.284)</f>
        <v>61.39816832228076</v>
      </c>
      <c r="CW154" s="20">
        <f t="shared" ref="CW154:CW203" si="174">(CU154+CV154)*0.475*44/12</f>
        <v>548.96387316130563</v>
      </c>
      <c r="CX154" s="59">
        <f t="shared" si="122"/>
        <v>842.29720649463889</v>
      </c>
      <c r="CY154" s="59">
        <f ca="1">AVERAGE(OFFSET($CX$3,0,0,'Données projet'!$E$13+1,1))-AVERAGE(OFFSET($H$3,0,0,'Données projet'!$E$13+1,1))</f>
        <v>279.49721661620544</v>
      </c>
      <c r="CZ154" s="59">
        <f t="shared" si="150"/>
        <v>275.18739333988754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13.031410233506117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13.031410233506117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267</v>
      </c>
      <c r="DP154" s="17">
        <f>DO154*VLOOKUP('Données projet'!$B$14,Paramètres!$A$1:$I$89,3,0)*VLOOKUP('Données projet'!$B$14,Paramètres!$A$1:$I$89,5,0)</f>
        <v>270.738</v>
      </c>
      <c r="DQ154" s="13">
        <f t="shared" ref="DQ154:DQ203" si="176">EXP(-1.0587+0.8836*LN(DP154)+0.284)</f>
        <v>65.005866623551711</v>
      </c>
      <c r="DR154" s="20">
        <f t="shared" ref="DR154:DR203" si="177">(DP154+DQ154)*0.475*44/12</f>
        <v>584.7539010360191</v>
      </c>
      <c r="DS154" s="59">
        <f t="shared" si="125"/>
        <v>878.08723436935247</v>
      </c>
      <c r="DT154" s="59">
        <f ca="1">AVERAGE(OFFSET($DS$3,0,0,'Données projet'!$E$14+1,1))-AVERAGE(OFFSET($H$3,0,0,'Données projet'!$E$14+1,1))</f>
        <v>308.80022073574963</v>
      </c>
      <c r="DU154" s="59">
        <f t="shared" si="152"/>
        <v>183.96267407004115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41.523932668602505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41.523932668602505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266.99999999999983</v>
      </c>
      <c r="EK154" s="17">
        <f>EJ154*VLOOKUP('Données projet'!$B$15,Paramètres!$A$1:$I$89,3,0)*VLOOKUP('Données projet'!$B$15,Paramètres!$A$1:$I$89,5,0)</f>
        <v>174.93839999999989</v>
      </c>
      <c r="EL154" s="13">
        <f t="shared" ref="EL154:EL203" si="179">EXP(-1.0587+0.8836*LN(EK154)+0.284)</f>
        <v>44.194210865203175</v>
      </c>
      <c r="EM154" s="20">
        <f t="shared" ref="EM154:EM203" si="180">(EK154+EL154)*0.475*44/12</f>
        <v>381.65596392356196</v>
      </c>
      <c r="EN154" s="59">
        <f t="shared" si="128"/>
        <v>674.98929725689527</v>
      </c>
      <c r="EO154" s="59">
        <f ca="1">AVERAGE(OFFSET($EN$3,0,0,'Données projet'!$E$15+1,1))-AVERAGE(OFFSET($H$3,0,0,'Données projet'!$E$15+1,1))</f>
        <v>178.71569711875242</v>
      </c>
      <c r="EP154" s="59">
        <f t="shared" si="154"/>
        <v>178.13848582064168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7.1050680298108579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7.1050680298108579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267</v>
      </c>
      <c r="FF154" s="17">
        <f>FE154*VLOOKUP('Données projet'!$B$16,Paramètres!$A$1:$I$89,3,0)*VLOOKUP('Données projet'!$B$16,Paramètres!$A$1:$I$89,5,0)</f>
        <v>224.92080000000001</v>
      </c>
      <c r="FG154" s="13">
        <f t="shared" ref="FG154:FG203" si="182">EXP(-1.0587+0.8836*LN(FF154)+0.284)</f>
        <v>55.1830164775604</v>
      </c>
      <c r="FH154" s="20">
        <f t="shared" ref="FH154:FH203" si="183">(FF154+FG154)*0.475*44/12</f>
        <v>487.84748036508444</v>
      </c>
      <c r="FI154" s="59">
        <f t="shared" si="131"/>
        <v>781.18081369841775</v>
      </c>
      <c r="FJ154" s="59">
        <f ca="1">AVERAGE(OFFSET($FI$3,0,0,'Données projet'!$E$16+1,1))-AVERAGE(OFFSET($H$3,0,0,'Données projet'!$E$16+1,1))</f>
        <v>247.22536892257716</v>
      </c>
      <c r="FK154" s="59">
        <f t="shared" si="156"/>
        <v>147.97952262756075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34.496805601608258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34.496805601608258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6">
        <f t="shared" si="110"/>
        <v>456.27723918360118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249.0000000000002</v>
      </c>
      <c r="O155" s="13">
        <f>N155*VLOOKUP('Données projet'!$B$9,Paramètres!$A$1:$I$89,3,0)*VLOOKUP('Données projet'!$B$9,Paramètres!$A$1:$I$89,5,0)</f>
        <v>217.52640000000019</v>
      </c>
      <c r="P155" s="13">
        <f t="shared" si="141"/>
        <v>53.576907690651304</v>
      </c>
      <c r="Q155" s="20">
        <f t="shared" si="162"/>
        <v>472.17159422788467</v>
      </c>
      <c r="R155" s="59">
        <f t="shared" si="109"/>
        <v>765.50492756121798</v>
      </c>
      <c r="S155" s="59">
        <f ca="1">AVERAGE(OFFSET($R$3,0,0,'Données projet'!$E$9+1,1))-AVERAGE(OFFSET($H$3,0,0,'Données projet'!$E$9+1,1))</f>
        <v>253.73326067725128</v>
      </c>
      <c r="T155" s="59">
        <f t="shared" si="142"/>
        <v>317.76427047458026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12.310257270271004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12.310257270271004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732.99999999999966</v>
      </c>
      <c r="AJ155" s="13">
        <f>AI155*VLOOKUP('Données projet'!$B$10,Paramètres!$A$1:$I$89,3,0)*VLOOKUP('Données projet'!$B$10,Paramètres!$A$1:$I$89,5,0)</f>
        <v>352.57299999999987</v>
      </c>
      <c r="AK155" s="13">
        <f t="shared" si="164"/>
        <v>82.092092597941644</v>
      </c>
      <c r="AL155" s="20">
        <f t="shared" si="165"/>
        <v>757.04170294141477</v>
      </c>
      <c r="AM155" s="59">
        <f t="shared" si="113"/>
        <v>1050.375036274748</v>
      </c>
      <c r="AN155" s="59">
        <f ca="1">AVERAGE(OFFSET($AM$3,0,0,'Données projet'!$E$10+1,1))-AVERAGE(OFFSET($H$3,0,0,'Données projet'!$E$10+1,1))</f>
        <v>349.65790906807746</v>
      </c>
      <c r="AO155" s="59">
        <f t="shared" si="144"/>
        <v>291.88925884278888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30.39898351347351</v>
      </c>
      <c r="AV155" s="21">
        <f>EXP(-LN(2)/25)*AV154+(1-EXP(-LN(2)/25))/(LN(2)/25)*Calculateur!AQ155*Calculateur!AS155*VLOOKUP('Données projet'!$B$10,Paramètres!$A$1:$I$89,3,0)*0.475*44/12</f>
        <v>1.3989635109914595</v>
      </c>
      <c r="AW155" s="21">
        <f>EXP(-LN(2)/2)*AW154+(1-EXP(-LN(2)/2))/(LN(2)/2)*AQ155*AT155*VLOOKUP('Données projet'!$B$10,Paramètres!$A$1:$I$89,3,0)*0.475*44/12</f>
        <v>2.2142270728133697E-20</v>
      </c>
      <c r="AX155" s="21">
        <f t="shared" si="166"/>
        <v>31.797947024464971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319</v>
      </c>
      <c r="BE155" s="13">
        <f>BD155*VLOOKUP('Données projet'!$B$11,Paramètres!$A$1:$I$89,3,0)*VLOOKUP('Données projet'!$B$11,Paramètres!$A$1:$I$89,5,0)</f>
        <v>253.79640000000001</v>
      </c>
      <c r="BF155" s="13">
        <f t="shared" si="167"/>
        <v>61.39816832228076</v>
      </c>
      <c r="BG155" s="20">
        <f t="shared" si="168"/>
        <v>548.96387316130563</v>
      </c>
      <c r="BH155" s="59">
        <f t="shared" si="116"/>
        <v>842.29720649463889</v>
      </c>
      <c r="BI155" s="59">
        <f ca="1">AVERAGE(OFFSET($BH$3,0,0,'Données projet'!$E$11+1,1))-AVERAGE(OFFSET($H$3,0,0,'Données projet'!$E$11+1,1))</f>
        <v>279.49721661620544</v>
      </c>
      <c r="BJ155" s="59">
        <f t="shared" si="146"/>
        <v>275.18739333988754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12.775872227202468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12.775872227202468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266.99999999999983</v>
      </c>
      <c r="BZ155" s="13">
        <f>BY155*VLOOKUP('Données projet'!$B$12,Paramètres!$A$1:$I$89,3,0)*VLOOKUP('Données projet'!$B$12,Paramètres!$A$1:$I$89,5,0)</f>
        <v>258.24239999999986</v>
      </c>
      <c r="CA155" s="13">
        <f t="shared" si="170"/>
        <v>62.347580891234152</v>
      </c>
      <c r="CB155" s="20">
        <f t="shared" si="171"/>
        <v>558.3608833855659</v>
      </c>
      <c r="CC155" s="59">
        <f t="shared" si="119"/>
        <v>851.69421671889927</v>
      </c>
      <c r="CD155" s="59">
        <f ca="1">AVERAGE(OFFSET($CC$3,0,0,'Données projet'!$E$12+1,1))-AVERAGE(OFFSET($H$3,0,0,'Données projet'!$E$12+1,1))</f>
        <v>281.84871057356037</v>
      </c>
      <c r="CE155" s="59">
        <f t="shared" si="148"/>
        <v>276.02211904126887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10.282761969605025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10.282761969605025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319</v>
      </c>
      <c r="CU155" s="17">
        <f>CT155*VLOOKUP('Données projet'!$B$13,Paramètres!$A$1:$I$89,3,0)*VLOOKUP('Données projet'!$B$13,Paramètres!$A$1:$I$89,5,0)</f>
        <v>253.79640000000001</v>
      </c>
      <c r="CV155" s="13">
        <f t="shared" si="173"/>
        <v>61.39816832228076</v>
      </c>
      <c r="CW155" s="20">
        <f t="shared" si="174"/>
        <v>548.96387316130563</v>
      </c>
      <c r="CX155" s="59">
        <f t="shared" si="122"/>
        <v>842.29720649463889</v>
      </c>
      <c r="CY155" s="59">
        <f ca="1">AVERAGE(OFFSET($CX$3,0,0,'Données projet'!$E$13+1,1))-AVERAGE(OFFSET($H$3,0,0,'Données projet'!$E$13+1,1))</f>
        <v>279.49721661620544</v>
      </c>
      <c r="CZ155" s="59">
        <f t="shared" si="150"/>
        <v>275.18739333988754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12.775872227202468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12.775872227202468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267</v>
      </c>
      <c r="DP155" s="17">
        <f>DO155*VLOOKUP('Données projet'!$B$14,Paramètres!$A$1:$I$89,3,0)*VLOOKUP('Données projet'!$B$14,Paramètres!$A$1:$I$89,5,0)</f>
        <v>270.738</v>
      </c>
      <c r="DQ155" s="13">
        <f t="shared" si="176"/>
        <v>65.005866623551711</v>
      </c>
      <c r="DR155" s="20">
        <f t="shared" si="177"/>
        <v>584.7539010360191</v>
      </c>
      <c r="DS155" s="59">
        <f t="shared" si="125"/>
        <v>878.08723436935247</v>
      </c>
      <c r="DT155" s="59">
        <f ca="1">AVERAGE(OFFSET($DS$3,0,0,'Données projet'!$E$14+1,1))-AVERAGE(OFFSET($H$3,0,0,'Données projet'!$E$14+1,1))</f>
        <v>308.80022073574963</v>
      </c>
      <c r="DU155" s="59">
        <f t="shared" si="152"/>
        <v>183.96267407004115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40.709673676069293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40.709673676069293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266.99999999999983</v>
      </c>
      <c r="EK155" s="17">
        <f>EJ155*VLOOKUP('Données projet'!$B$15,Paramètres!$A$1:$I$89,3,0)*VLOOKUP('Données projet'!$B$15,Paramètres!$A$1:$I$89,5,0)</f>
        <v>174.93839999999989</v>
      </c>
      <c r="EL155" s="13">
        <f t="shared" si="179"/>
        <v>44.194210865203175</v>
      </c>
      <c r="EM155" s="20">
        <f t="shared" si="180"/>
        <v>381.65596392356196</v>
      </c>
      <c r="EN155" s="59">
        <f t="shared" si="128"/>
        <v>674.98929725689527</v>
      </c>
      <c r="EO155" s="59">
        <f ca="1">AVERAGE(OFFSET($EN$3,0,0,'Données projet'!$E$15+1,1))-AVERAGE(OFFSET($H$3,0,0,'Données projet'!$E$15+1,1))</f>
        <v>178.71569711875242</v>
      </c>
      <c r="EP155" s="59">
        <f t="shared" si="154"/>
        <v>178.13848582064168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6.9657419794098514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6.9657419794098514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267</v>
      </c>
      <c r="FF155" s="17">
        <f>FE155*VLOOKUP('Données projet'!$B$16,Paramètres!$A$1:$I$89,3,0)*VLOOKUP('Données projet'!$B$16,Paramètres!$A$1:$I$89,5,0)</f>
        <v>224.92080000000001</v>
      </c>
      <c r="FG155" s="13">
        <f t="shared" si="182"/>
        <v>55.1830164775604</v>
      </c>
      <c r="FH155" s="20">
        <f t="shared" si="183"/>
        <v>487.84748036508444</v>
      </c>
      <c r="FI155" s="59">
        <f t="shared" si="131"/>
        <v>781.18081369841775</v>
      </c>
      <c r="FJ155" s="59">
        <f ca="1">AVERAGE(OFFSET($FI$3,0,0,'Données projet'!$E$16+1,1))-AVERAGE(OFFSET($H$3,0,0,'Données projet'!$E$16+1,1))</f>
        <v>247.22536892257716</v>
      </c>
      <c r="FK155" s="59">
        <f t="shared" si="156"/>
        <v>147.97952262756075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33.820344284734517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33.820344284734517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6">
        <f t="shared" si="110"/>
        <v>457.32189190423196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249.0000000000002</v>
      </c>
      <c r="O156" s="13">
        <f>N156*VLOOKUP('Données projet'!$B$9,Paramètres!$A$1:$I$89,3,0)*VLOOKUP('Données projet'!$B$9,Paramètres!$A$1:$I$89,5,0)</f>
        <v>217.52640000000019</v>
      </c>
      <c r="P156" s="13">
        <f t="shared" si="141"/>
        <v>53.576907690651304</v>
      </c>
      <c r="Q156" s="20">
        <f t="shared" si="162"/>
        <v>472.17159422788467</v>
      </c>
      <c r="R156" s="59">
        <f t="shared" si="109"/>
        <v>765.50492756121798</v>
      </c>
      <c r="S156" s="59">
        <f ca="1">AVERAGE(OFFSET($R$3,0,0,'Données projet'!$E$9+1,1))-AVERAGE(OFFSET($H$3,0,0,'Données projet'!$E$9+1,1))</f>
        <v>253.73326067725128</v>
      </c>
      <c r="T156" s="59">
        <f t="shared" si="142"/>
        <v>317.76427047458026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12.06886063371652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12.06886063371652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732.99999999999966</v>
      </c>
      <c r="AJ156" s="13">
        <f>AI156*VLOOKUP('Données projet'!$B$10,Paramètres!$A$1:$I$89,3,0)*VLOOKUP('Données projet'!$B$10,Paramètres!$A$1:$I$89,5,0)</f>
        <v>352.57299999999987</v>
      </c>
      <c r="AK156" s="13">
        <f t="shared" si="164"/>
        <v>82.092092597941644</v>
      </c>
      <c r="AL156" s="20">
        <f t="shared" si="165"/>
        <v>757.04170294141477</v>
      </c>
      <c r="AM156" s="59">
        <f t="shared" si="113"/>
        <v>1050.375036274748</v>
      </c>
      <c r="AN156" s="59">
        <f ca="1">AVERAGE(OFFSET($AM$3,0,0,'Données projet'!$E$10+1,1))-AVERAGE(OFFSET($H$3,0,0,'Données projet'!$E$10+1,1))</f>
        <v>349.65790906807746</v>
      </c>
      <c r="AO156" s="59">
        <f t="shared" si="144"/>
        <v>291.88925884278888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29.802877988323413</v>
      </c>
      <c r="AV156" s="21">
        <f>EXP(-LN(2)/25)*AV155+(1-EXP(-LN(2)/25))/(LN(2)/25)*Calculateur!AQ156*Calculateur!AS156*VLOOKUP('Données projet'!$B$10,Paramètres!$A$1:$I$89,3,0)*0.475*44/12</f>
        <v>1.3607087802151043</v>
      </c>
      <c r="AW156" s="21">
        <f>EXP(-LN(2)/2)*AW155+(1-EXP(-LN(2)/2))/(LN(2)/2)*AQ156*AT156*VLOOKUP('Données projet'!$B$10,Paramètres!$A$1:$I$89,3,0)*0.475*44/12</f>
        <v>1.565694978273173E-20</v>
      </c>
      <c r="AX156" s="21">
        <f t="shared" si="166"/>
        <v>31.163586768538519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319</v>
      </c>
      <c r="BE156" s="13">
        <f>BD156*VLOOKUP('Données projet'!$B$11,Paramètres!$A$1:$I$89,3,0)*VLOOKUP('Données projet'!$B$11,Paramètres!$A$1:$I$89,5,0)</f>
        <v>253.79640000000001</v>
      </c>
      <c r="BF156" s="13">
        <f t="shared" si="167"/>
        <v>61.39816832228076</v>
      </c>
      <c r="BG156" s="20">
        <f t="shared" si="168"/>
        <v>548.96387316130563</v>
      </c>
      <c r="BH156" s="59">
        <f t="shared" si="116"/>
        <v>842.29720649463889</v>
      </c>
      <c r="BI156" s="59">
        <f ca="1">AVERAGE(OFFSET($BH$3,0,0,'Données projet'!$E$11+1,1))-AVERAGE(OFFSET($H$3,0,0,'Données projet'!$E$11+1,1))</f>
        <v>279.49721661620544</v>
      </c>
      <c r="BJ156" s="59">
        <f t="shared" si="146"/>
        <v>275.18739333988754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12.52534516533964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12.52534516533964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266.99999999999983</v>
      </c>
      <c r="BZ156" s="13">
        <f>BY156*VLOOKUP('Données projet'!$B$12,Paramètres!$A$1:$I$89,3,0)*VLOOKUP('Données projet'!$B$12,Paramètres!$A$1:$I$89,5,0)</f>
        <v>258.24239999999986</v>
      </c>
      <c r="CA156" s="13">
        <f t="shared" si="170"/>
        <v>62.347580891234152</v>
      </c>
      <c r="CB156" s="20">
        <f t="shared" si="171"/>
        <v>558.3608833855659</v>
      </c>
      <c r="CC156" s="59">
        <f t="shared" si="119"/>
        <v>851.69421671889927</v>
      </c>
      <c r="CD156" s="59">
        <f ca="1">AVERAGE(OFFSET($CC$3,0,0,'Données projet'!$E$12+1,1))-AVERAGE(OFFSET($H$3,0,0,'Données projet'!$E$12+1,1))</f>
        <v>281.84871057356037</v>
      </c>
      <c r="CE156" s="59">
        <f t="shared" si="148"/>
        <v>276.02211904126887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10.081123279246576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10.081123279246576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319</v>
      </c>
      <c r="CU156" s="17">
        <f>CT156*VLOOKUP('Données projet'!$B$13,Paramètres!$A$1:$I$89,3,0)*VLOOKUP('Données projet'!$B$13,Paramètres!$A$1:$I$89,5,0)</f>
        <v>253.79640000000001</v>
      </c>
      <c r="CV156" s="13">
        <f t="shared" si="173"/>
        <v>61.39816832228076</v>
      </c>
      <c r="CW156" s="20">
        <f t="shared" si="174"/>
        <v>548.96387316130563</v>
      </c>
      <c r="CX156" s="59">
        <f t="shared" si="122"/>
        <v>842.29720649463889</v>
      </c>
      <c r="CY156" s="59">
        <f ca="1">AVERAGE(OFFSET($CX$3,0,0,'Données projet'!$E$13+1,1))-AVERAGE(OFFSET($H$3,0,0,'Données projet'!$E$13+1,1))</f>
        <v>279.49721661620544</v>
      </c>
      <c r="CZ156" s="59">
        <f t="shared" si="150"/>
        <v>275.18739333988754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12.52534516533964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12.52534516533964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267</v>
      </c>
      <c r="DP156" s="17">
        <f>DO156*VLOOKUP('Données projet'!$B$14,Paramètres!$A$1:$I$89,3,0)*VLOOKUP('Données projet'!$B$14,Paramètres!$A$1:$I$89,5,0)</f>
        <v>270.738</v>
      </c>
      <c r="DQ156" s="13">
        <f t="shared" si="176"/>
        <v>65.005866623551711</v>
      </c>
      <c r="DR156" s="20">
        <f t="shared" si="177"/>
        <v>584.7539010360191</v>
      </c>
      <c r="DS156" s="59">
        <f t="shared" si="125"/>
        <v>878.08723436935247</v>
      </c>
      <c r="DT156" s="59">
        <f ca="1">AVERAGE(OFFSET($DS$3,0,0,'Données projet'!$E$14+1,1))-AVERAGE(OFFSET($H$3,0,0,'Données projet'!$E$14+1,1))</f>
        <v>308.80022073574963</v>
      </c>
      <c r="DU156" s="59">
        <f t="shared" si="152"/>
        <v>183.96267407004115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39.911381805730713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39.911381805730713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266.99999999999983</v>
      </c>
      <c r="EK156" s="17">
        <f>EJ156*VLOOKUP('Données projet'!$B$15,Paramètres!$A$1:$I$89,3,0)*VLOOKUP('Données projet'!$B$15,Paramètres!$A$1:$I$89,5,0)</f>
        <v>174.93839999999989</v>
      </c>
      <c r="EL156" s="13">
        <f t="shared" si="179"/>
        <v>44.194210865203175</v>
      </c>
      <c r="EM156" s="20">
        <f t="shared" si="180"/>
        <v>381.65596392356196</v>
      </c>
      <c r="EN156" s="59">
        <f t="shared" si="128"/>
        <v>674.98929725689527</v>
      </c>
      <c r="EO156" s="59">
        <f ca="1">AVERAGE(OFFSET($EN$3,0,0,'Données projet'!$E$15+1,1))-AVERAGE(OFFSET($H$3,0,0,'Données projet'!$E$15+1,1))</f>
        <v>178.71569711875242</v>
      </c>
      <c r="EP156" s="59">
        <f t="shared" si="154"/>
        <v>178.13848582064168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6.8291480278767089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6.8291480278767089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267</v>
      </c>
      <c r="FF156" s="17">
        <f>FE156*VLOOKUP('Données projet'!$B$16,Paramètres!$A$1:$I$89,3,0)*VLOOKUP('Données projet'!$B$16,Paramètres!$A$1:$I$89,5,0)</f>
        <v>224.92080000000001</v>
      </c>
      <c r="FG156" s="13">
        <f t="shared" si="182"/>
        <v>55.1830164775604</v>
      </c>
      <c r="FH156" s="20">
        <f t="shared" si="183"/>
        <v>487.84748036508444</v>
      </c>
      <c r="FI156" s="59">
        <f t="shared" si="131"/>
        <v>781.18081369841775</v>
      </c>
      <c r="FJ156" s="59">
        <f ca="1">AVERAGE(OFFSET($FI$3,0,0,'Données projet'!$E$16+1,1))-AVERAGE(OFFSET($H$3,0,0,'Données projet'!$E$16+1,1))</f>
        <v>247.22536892257716</v>
      </c>
      <c r="FK156" s="59">
        <f t="shared" si="156"/>
        <v>147.97952262756075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33.157147961684004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33.157147961684004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6">
        <f t="shared" si="110"/>
        <v>458.36638726885758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249.0000000000002</v>
      </c>
      <c r="O157" s="13">
        <f>N157*VLOOKUP('Données projet'!$B$9,Paramètres!$A$1:$I$89,3,0)*VLOOKUP('Données projet'!$B$9,Paramètres!$A$1:$I$89,5,0)</f>
        <v>217.52640000000019</v>
      </c>
      <c r="P157" s="13">
        <f t="shared" si="141"/>
        <v>53.576907690651304</v>
      </c>
      <c r="Q157" s="20">
        <f t="shared" si="162"/>
        <v>472.17159422788467</v>
      </c>
      <c r="R157" s="59">
        <f t="shared" si="109"/>
        <v>765.50492756121798</v>
      </c>
      <c r="S157" s="59">
        <f ca="1">AVERAGE(OFFSET($R$3,0,0,'Données projet'!$E$9+1,1))-AVERAGE(OFFSET($H$3,0,0,'Données projet'!$E$9+1,1))</f>
        <v>253.73326067725128</v>
      </c>
      <c r="T157" s="59">
        <f t="shared" si="142"/>
        <v>317.76427047458026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11.832197637967459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11.832197637967459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732.99999999999966</v>
      </c>
      <c r="AJ157" s="13">
        <f>AI157*VLOOKUP('Données projet'!$B$10,Paramètres!$A$1:$I$89,3,0)*VLOOKUP('Données projet'!$B$10,Paramètres!$A$1:$I$89,5,0)</f>
        <v>352.57299999999987</v>
      </c>
      <c r="AK157" s="13">
        <f t="shared" si="164"/>
        <v>82.092092597941644</v>
      </c>
      <c r="AL157" s="20">
        <f t="shared" si="165"/>
        <v>757.04170294141477</v>
      </c>
      <c r="AM157" s="59">
        <f t="shared" si="113"/>
        <v>1050.375036274748</v>
      </c>
      <c r="AN157" s="59">
        <f ca="1">AVERAGE(OFFSET($AM$3,0,0,'Données projet'!$E$10+1,1))-AVERAGE(OFFSET($H$3,0,0,'Données projet'!$E$10+1,1))</f>
        <v>349.65790906807746</v>
      </c>
      <c r="AO157" s="59">
        <f t="shared" si="144"/>
        <v>291.88925884278888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29.21846172893304</v>
      </c>
      <c r="AV157" s="21">
        <f>EXP(-LN(2)/25)*AV156+(1-EXP(-LN(2)/25))/(LN(2)/25)*Calculateur!AQ157*Calculateur!AS157*VLOOKUP('Données projet'!$B$10,Paramètres!$A$1:$I$89,3,0)*0.475*44/12</f>
        <v>1.3235001270635576</v>
      </c>
      <c r="AW157" s="21">
        <f>EXP(-LN(2)/2)*AW156+(1-EXP(-LN(2)/2))/(LN(2)/2)*AQ157*AT157*VLOOKUP('Données projet'!$B$10,Paramètres!$A$1:$I$89,3,0)*0.475*44/12</f>
        <v>1.1071135364066849E-20</v>
      </c>
      <c r="AX157" s="21">
        <f t="shared" si="166"/>
        <v>30.541961855996597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319</v>
      </c>
      <c r="BE157" s="13">
        <f>BD157*VLOOKUP('Données projet'!$B$11,Paramètres!$A$1:$I$89,3,0)*VLOOKUP('Données projet'!$B$11,Paramètres!$A$1:$I$89,5,0)</f>
        <v>253.79640000000001</v>
      </c>
      <c r="BF157" s="13">
        <f t="shared" si="167"/>
        <v>61.39816832228076</v>
      </c>
      <c r="BG157" s="20">
        <f t="shared" si="168"/>
        <v>548.96387316130563</v>
      </c>
      <c r="BH157" s="59">
        <f t="shared" si="116"/>
        <v>842.29720649463889</v>
      </c>
      <c r="BI157" s="59">
        <f ca="1">AVERAGE(OFFSET($BH$3,0,0,'Données projet'!$E$11+1,1))-AVERAGE(OFFSET($H$3,0,0,'Données projet'!$E$11+1,1))</f>
        <v>279.49721661620544</v>
      </c>
      <c r="BJ157" s="59">
        <f t="shared" si="146"/>
        <v>275.18739333988754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12.279730786353522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12.279730786353522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266.99999999999983</v>
      </c>
      <c r="BZ157" s="13">
        <f>BY157*VLOOKUP('Données projet'!$B$12,Paramètres!$A$1:$I$89,3,0)*VLOOKUP('Données projet'!$B$12,Paramètres!$A$1:$I$89,5,0)</f>
        <v>258.24239999999986</v>
      </c>
      <c r="CA157" s="13">
        <f t="shared" si="170"/>
        <v>62.347580891234152</v>
      </c>
      <c r="CB157" s="20">
        <f t="shared" si="171"/>
        <v>558.3608833855659</v>
      </c>
      <c r="CC157" s="59">
        <f t="shared" si="119"/>
        <v>851.69421671889927</v>
      </c>
      <c r="CD157" s="59">
        <f ca="1">AVERAGE(OFFSET($CC$3,0,0,'Données projet'!$E$12+1,1))-AVERAGE(OFFSET($H$3,0,0,'Données projet'!$E$12+1,1))</f>
        <v>281.84871057356037</v>
      </c>
      <c r="CE157" s="59">
        <f t="shared" si="148"/>
        <v>276.02211904126887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9.8834386006186001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9.8834386006186001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319</v>
      </c>
      <c r="CU157" s="17">
        <f>CT157*VLOOKUP('Données projet'!$B$13,Paramètres!$A$1:$I$89,3,0)*VLOOKUP('Données projet'!$B$13,Paramètres!$A$1:$I$89,5,0)</f>
        <v>253.79640000000001</v>
      </c>
      <c r="CV157" s="13">
        <f t="shared" si="173"/>
        <v>61.39816832228076</v>
      </c>
      <c r="CW157" s="20">
        <f t="shared" si="174"/>
        <v>548.96387316130563</v>
      </c>
      <c r="CX157" s="59">
        <f t="shared" si="122"/>
        <v>842.29720649463889</v>
      </c>
      <c r="CY157" s="59">
        <f ca="1">AVERAGE(OFFSET($CX$3,0,0,'Données projet'!$E$13+1,1))-AVERAGE(OFFSET($H$3,0,0,'Données projet'!$E$13+1,1))</f>
        <v>279.49721661620544</v>
      </c>
      <c r="CZ157" s="59">
        <f t="shared" si="150"/>
        <v>275.18739333988754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12.279730786353522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12.279730786353522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267</v>
      </c>
      <c r="DP157" s="17">
        <f>DO157*VLOOKUP('Données projet'!$B$14,Paramètres!$A$1:$I$89,3,0)*VLOOKUP('Données projet'!$B$14,Paramètres!$A$1:$I$89,5,0)</f>
        <v>270.738</v>
      </c>
      <c r="DQ157" s="13">
        <f t="shared" si="176"/>
        <v>65.005866623551711</v>
      </c>
      <c r="DR157" s="20">
        <f t="shared" si="177"/>
        <v>584.7539010360191</v>
      </c>
      <c r="DS157" s="59">
        <f t="shared" si="125"/>
        <v>878.08723436935247</v>
      </c>
      <c r="DT157" s="59">
        <f ca="1">AVERAGE(OFFSET($DS$3,0,0,'Données projet'!$E$14+1,1))-AVERAGE(OFFSET($H$3,0,0,'Données projet'!$E$14+1,1))</f>
        <v>308.80022073574963</v>
      </c>
      <c r="DU157" s="59">
        <f t="shared" si="152"/>
        <v>183.96267407004115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39.128743952059509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39.128743952059509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266.99999999999983</v>
      </c>
      <c r="EK157" s="17">
        <f>EJ157*VLOOKUP('Données projet'!$B$15,Paramètres!$A$1:$I$89,3,0)*VLOOKUP('Données projet'!$B$15,Paramètres!$A$1:$I$89,5,0)</f>
        <v>174.93839999999989</v>
      </c>
      <c r="EL157" s="13">
        <f t="shared" si="179"/>
        <v>44.194210865203175</v>
      </c>
      <c r="EM157" s="20">
        <f t="shared" si="180"/>
        <v>381.65596392356196</v>
      </c>
      <c r="EN157" s="59">
        <f t="shared" si="128"/>
        <v>674.98929725689527</v>
      </c>
      <c r="EO157" s="59">
        <f ca="1">AVERAGE(OFFSET($EN$3,0,0,'Données projet'!$E$15+1,1))-AVERAGE(OFFSET($H$3,0,0,'Données projet'!$E$15+1,1))</f>
        <v>178.71569711875242</v>
      </c>
      <c r="EP157" s="59">
        <f t="shared" si="154"/>
        <v>178.13848582064168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6.6952326004190477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6.6952326004190477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267</v>
      </c>
      <c r="FF157" s="17">
        <f>FE157*VLOOKUP('Données projet'!$B$16,Paramètres!$A$1:$I$89,3,0)*VLOOKUP('Données projet'!$B$16,Paramètres!$A$1:$I$89,5,0)</f>
        <v>224.92080000000001</v>
      </c>
      <c r="FG157" s="13">
        <f t="shared" si="182"/>
        <v>55.1830164775604</v>
      </c>
      <c r="FH157" s="20">
        <f t="shared" si="183"/>
        <v>487.84748036508444</v>
      </c>
      <c r="FI157" s="59">
        <f t="shared" si="131"/>
        <v>781.18081369841775</v>
      </c>
      <c r="FJ157" s="59">
        <f ca="1">AVERAGE(OFFSET($FI$3,0,0,'Données projet'!$E$16+1,1))-AVERAGE(OFFSET($H$3,0,0,'Données projet'!$E$16+1,1))</f>
        <v>247.22536892257716</v>
      </c>
      <c r="FK157" s="59">
        <f t="shared" si="156"/>
        <v>147.97952262756075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32.506956514018697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32.506956514018697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6">
        <f t="shared" si="110"/>
        <v>459.41072641779198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249.0000000000002</v>
      </c>
      <c r="O158" s="13">
        <f>N158*VLOOKUP('Données projet'!$B$9,Paramètres!$A$1:$I$89,3,0)*VLOOKUP('Données projet'!$B$9,Paramètres!$A$1:$I$89,5,0)</f>
        <v>217.52640000000019</v>
      </c>
      <c r="P158" s="13">
        <f t="shared" si="141"/>
        <v>53.576907690651304</v>
      </c>
      <c r="Q158" s="20">
        <f t="shared" si="162"/>
        <v>472.17159422788467</v>
      </c>
      <c r="R158" s="59">
        <f t="shared" si="109"/>
        <v>765.50492756121798</v>
      </c>
      <c r="S158" s="59">
        <f ca="1">AVERAGE(OFFSET($R$3,0,0,'Données projet'!$E$9+1,1))-AVERAGE(OFFSET($H$3,0,0,'Données projet'!$E$9+1,1))</f>
        <v>253.73326067725128</v>
      </c>
      <c r="T158" s="59">
        <f t="shared" si="142"/>
        <v>317.76427047458026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11.600175459214864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11.600175459214864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732.99999999999966</v>
      </c>
      <c r="AJ158" s="13">
        <f>AI158*VLOOKUP('Données projet'!$B$10,Paramètres!$A$1:$I$89,3,0)*VLOOKUP('Données projet'!$B$10,Paramètres!$A$1:$I$89,5,0)</f>
        <v>352.57299999999987</v>
      </c>
      <c r="AK158" s="13">
        <f t="shared" si="164"/>
        <v>82.092092597941644</v>
      </c>
      <c r="AL158" s="20">
        <f t="shared" si="165"/>
        <v>757.04170294141477</v>
      </c>
      <c r="AM158" s="59">
        <f t="shared" si="113"/>
        <v>1050.375036274748</v>
      </c>
      <c r="AN158" s="59">
        <f ca="1">AVERAGE(OFFSET($AM$3,0,0,'Données projet'!$E$10+1,1))-AVERAGE(OFFSET($H$3,0,0,'Données projet'!$E$10+1,1))</f>
        <v>349.65790906807746</v>
      </c>
      <c r="AO158" s="59">
        <f t="shared" si="144"/>
        <v>291.88925884278888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28.645505515930591</v>
      </c>
      <c r="AV158" s="21">
        <f>EXP(-LN(2)/25)*AV157+(1-EXP(-LN(2)/25))/(LN(2)/25)*Calculateur!AQ158*Calculateur!AS158*VLOOKUP('Données projet'!$B$10,Paramètres!$A$1:$I$89,3,0)*0.475*44/12</f>
        <v>1.2873089464891578</v>
      </c>
      <c r="AW158" s="21">
        <f>EXP(-LN(2)/2)*AW157+(1-EXP(-LN(2)/2))/(LN(2)/2)*AQ158*AT158*VLOOKUP('Données projet'!$B$10,Paramètres!$A$1:$I$89,3,0)*0.475*44/12</f>
        <v>7.8284748913658652E-21</v>
      </c>
      <c r="AX158" s="21">
        <f t="shared" si="166"/>
        <v>29.932814462419749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319</v>
      </c>
      <c r="BE158" s="13">
        <f>BD158*VLOOKUP('Données projet'!$B$11,Paramètres!$A$1:$I$89,3,0)*VLOOKUP('Données projet'!$B$11,Paramètres!$A$1:$I$89,5,0)</f>
        <v>253.79640000000001</v>
      </c>
      <c r="BF158" s="13">
        <f t="shared" si="167"/>
        <v>61.39816832228076</v>
      </c>
      <c r="BG158" s="20">
        <f t="shared" si="168"/>
        <v>548.96387316130563</v>
      </c>
      <c r="BH158" s="59">
        <f t="shared" si="116"/>
        <v>842.29720649463889</v>
      </c>
      <c r="BI158" s="59">
        <f ca="1">AVERAGE(OFFSET($BH$3,0,0,'Données projet'!$E$11+1,1))-AVERAGE(OFFSET($H$3,0,0,'Données projet'!$E$11+1,1))</f>
        <v>279.49721661620544</v>
      </c>
      <c r="BJ158" s="59">
        <f t="shared" si="146"/>
        <v>275.18739333988754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12.038932755529343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12.038932755529343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266.99999999999983</v>
      </c>
      <c r="BZ158" s="13">
        <f>BY158*VLOOKUP('Données projet'!$B$12,Paramètres!$A$1:$I$89,3,0)*VLOOKUP('Données projet'!$B$12,Paramètres!$A$1:$I$89,5,0)</f>
        <v>258.24239999999986</v>
      </c>
      <c r="CA158" s="13">
        <f t="shared" si="170"/>
        <v>62.347580891234152</v>
      </c>
      <c r="CB158" s="20">
        <f t="shared" si="171"/>
        <v>558.3608833855659</v>
      </c>
      <c r="CC158" s="59">
        <f t="shared" si="119"/>
        <v>851.69421671889927</v>
      </c>
      <c r="CD158" s="59">
        <f ca="1">AVERAGE(OFFSET($CC$3,0,0,'Données projet'!$E$12+1,1))-AVERAGE(OFFSET($H$3,0,0,'Données projet'!$E$12+1,1))</f>
        <v>281.84871057356037</v>
      </c>
      <c r="CE158" s="59">
        <f t="shared" si="148"/>
        <v>276.02211904126887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9.6896303979627696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9.6896303979627696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319</v>
      </c>
      <c r="CU158" s="17">
        <f>CT158*VLOOKUP('Données projet'!$B$13,Paramètres!$A$1:$I$89,3,0)*VLOOKUP('Données projet'!$B$13,Paramètres!$A$1:$I$89,5,0)</f>
        <v>253.79640000000001</v>
      </c>
      <c r="CV158" s="13">
        <f t="shared" si="173"/>
        <v>61.39816832228076</v>
      </c>
      <c r="CW158" s="20">
        <f t="shared" si="174"/>
        <v>548.96387316130563</v>
      </c>
      <c r="CX158" s="59">
        <f t="shared" si="122"/>
        <v>842.29720649463889</v>
      </c>
      <c r="CY158" s="59">
        <f ca="1">AVERAGE(OFFSET($CX$3,0,0,'Données projet'!$E$13+1,1))-AVERAGE(OFFSET($H$3,0,0,'Données projet'!$E$13+1,1))</f>
        <v>279.49721661620544</v>
      </c>
      <c r="CZ158" s="59">
        <f t="shared" si="150"/>
        <v>275.18739333988754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12.038932755529343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12.038932755529343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267</v>
      </c>
      <c r="DP158" s="17">
        <f>DO158*VLOOKUP('Données projet'!$B$14,Paramètres!$A$1:$I$89,3,0)*VLOOKUP('Données projet'!$B$14,Paramètres!$A$1:$I$89,5,0)</f>
        <v>270.738</v>
      </c>
      <c r="DQ158" s="13">
        <f t="shared" si="176"/>
        <v>65.005866623551711</v>
      </c>
      <c r="DR158" s="20">
        <f t="shared" si="177"/>
        <v>584.7539010360191</v>
      </c>
      <c r="DS158" s="59">
        <f t="shared" si="125"/>
        <v>878.08723436935247</v>
      </c>
      <c r="DT158" s="59">
        <f ca="1">AVERAGE(OFFSET($DS$3,0,0,'Données projet'!$E$14+1,1))-AVERAGE(OFFSET($H$3,0,0,'Données projet'!$E$14+1,1))</f>
        <v>308.80022073574963</v>
      </c>
      <c r="DU158" s="59">
        <f t="shared" si="152"/>
        <v>183.96267407004115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38.361453149336846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38.361453149336846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266.99999999999983</v>
      </c>
      <c r="EK158" s="17">
        <f>EJ158*VLOOKUP('Données projet'!$B$15,Paramètres!$A$1:$I$89,3,0)*VLOOKUP('Données projet'!$B$15,Paramètres!$A$1:$I$89,5,0)</f>
        <v>174.93839999999989</v>
      </c>
      <c r="EL158" s="13">
        <f t="shared" si="179"/>
        <v>44.194210865203175</v>
      </c>
      <c r="EM158" s="20">
        <f t="shared" si="180"/>
        <v>381.65596392356196</v>
      </c>
      <c r="EN158" s="59">
        <f t="shared" si="128"/>
        <v>674.98929725689527</v>
      </c>
      <c r="EO158" s="59">
        <f ca="1">AVERAGE(OFFSET($EN$3,0,0,'Données projet'!$E$15+1,1))-AVERAGE(OFFSET($H$3,0,0,'Données projet'!$E$15+1,1))</f>
        <v>178.71569711875242</v>
      </c>
      <c r="EP158" s="59">
        <f t="shared" si="154"/>
        <v>178.13848582064168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6.5639431728134854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6.5639431728134854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267</v>
      </c>
      <c r="FF158" s="17">
        <f>FE158*VLOOKUP('Données projet'!$B$16,Paramètres!$A$1:$I$89,3,0)*VLOOKUP('Données projet'!$B$16,Paramètres!$A$1:$I$89,5,0)</f>
        <v>224.92080000000001</v>
      </c>
      <c r="FG158" s="13">
        <f t="shared" si="182"/>
        <v>55.1830164775604</v>
      </c>
      <c r="FH158" s="20">
        <f t="shared" si="183"/>
        <v>487.84748036508444</v>
      </c>
      <c r="FI158" s="59">
        <f t="shared" si="131"/>
        <v>781.18081369841775</v>
      </c>
      <c r="FJ158" s="59">
        <f ca="1">AVERAGE(OFFSET($FI$3,0,0,'Données projet'!$E$16+1,1))-AVERAGE(OFFSET($H$3,0,0,'Données projet'!$E$16+1,1))</f>
        <v>247.22536892257716</v>
      </c>
      <c r="FK158" s="59">
        <f t="shared" si="156"/>
        <v>147.97952262756075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31.869514924064482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31.869514924064482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6">
        <f t="shared" si="110"/>
        <v>460.45491047578457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249.0000000000002</v>
      </c>
      <c r="O159" s="13">
        <f>N159*VLOOKUP('Données projet'!$B$9,Paramètres!$A$1:$I$89,3,0)*VLOOKUP('Données projet'!$B$9,Paramètres!$A$1:$I$89,5,0)</f>
        <v>217.52640000000019</v>
      </c>
      <c r="P159" s="13">
        <f t="shared" si="141"/>
        <v>53.576907690651304</v>
      </c>
      <c r="Q159" s="20">
        <f t="shared" si="162"/>
        <v>472.17159422788467</v>
      </c>
      <c r="R159" s="59">
        <f t="shared" si="109"/>
        <v>765.50492756121798</v>
      </c>
      <c r="S159" s="59">
        <f ca="1">AVERAGE(OFFSET($R$3,0,0,'Données projet'!$E$9+1,1))-AVERAGE(OFFSET($H$3,0,0,'Données projet'!$E$9+1,1))</f>
        <v>253.73326067725128</v>
      </c>
      <c r="T159" s="59">
        <f t="shared" si="142"/>
        <v>317.76427047458026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11.372703093868052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11.372703093868052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732.99999999999966</v>
      </c>
      <c r="AJ159" s="13">
        <f>AI159*VLOOKUP('Données projet'!$B$10,Paramètres!$A$1:$I$89,3,0)*VLOOKUP('Données projet'!$B$10,Paramètres!$A$1:$I$89,5,0)</f>
        <v>352.57299999999987</v>
      </c>
      <c r="AK159" s="13">
        <f t="shared" si="164"/>
        <v>82.092092597941644</v>
      </c>
      <c r="AL159" s="20">
        <f t="shared" si="165"/>
        <v>757.04170294141477</v>
      </c>
      <c r="AM159" s="59">
        <f t="shared" si="113"/>
        <v>1050.375036274748</v>
      </c>
      <c r="AN159" s="59">
        <f ca="1">AVERAGE(OFFSET($AM$3,0,0,'Données projet'!$E$10+1,1))-AVERAGE(OFFSET($H$3,0,0,'Données projet'!$E$10+1,1))</f>
        <v>349.65790906807746</v>
      </c>
      <c r="AO159" s="59">
        <f t="shared" si="144"/>
        <v>291.88925884278888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28.083784624796337</v>
      </c>
      <c r="AV159" s="21">
        <f>EXP(-LN(2)/25)*AV158+(1-EXP(-LN(2)/25))/(LN(2)/25)*Calculateur!AQ159*Calculateur!AS159*VLOOKUP('Données projet'!$B$10,Paramètres!$A$1:$I$89,3,0)*0.475*44/12</f>
        <v>1.2521074156507765</v>
      </c>
      <c r="AW159" s="21">
        <f>EXP(-LN(2)/2)*AW158+(1-EXP(-LN(2)/2))/(LN(2)/2)*AQ159*AT159*VLOOKUP('Données projet'!$B$10,Paramètres!$A$1:$I$89,3,0)*0.475*44/12</f>
        <v>5.5355676820334243E-21</v>
      </c>
      <c r="AX159" s="21">
        <f t="shared" si="166"/>
        <v>29.335892040447114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319</v>
      </c>
      <c r="BE159" s="13">
        <f>BD159*VLOOKUP('Données projet'!$B$11,Paramètres!$A$1:$I$89,3,0)*VLOOKUP('Données projet'!$B$11,Paramètres!$A$1:$I$89,5,0)</f>
        <v>253.79640000000001</v>
      </c>
      <c r="BF159" s="13">
        <f t="shared" si="167"/>
        <v>61.39816832228076</v>
      </c>
      <c r="BG159" s="20">
        <f t="shared" si="168"/>
        <v>548.96387316130563</v>
      </c>
      <c r="BH159" s="59">
        <f t="shared" si="116"/>
        <v>842.29720649463889</v>
      </c>
      <c r="BI159" s="59">
        <f ca="1">AVERAGE(OFFSET($BH$3,0,0,'Données projet'!$E$11+1,1))-AVERAGE(OFFSET($H$3,0,0,'Données projet'!$E$11+1,1))</f>
        <v>279.49721661620544</v>
      </c>
      <c r="BJ159" s="59">
        <f t="shared" si="146"/>
        <v>275.18739333988754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11.802856627217331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11.802856627217331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266.99999999999983</v>
      </c>
      <c r="BZ159" s="13">
        <f>BY159*VLOOKUP('Données projet'!$B$12,Paramètres!$A$1:$I$89,3,0)*VLOOKUP('Données projet'!$B$12,Paramètres!$A$1:$I$89,5,0)</f>
        <v>258.24239999999986</v>
      </c>
      <c r="CA159" s="13">
        <f t="shared" si="170"/>
        <v>62.347580891234152</v>
      </c>
      <c r="CB159" s="20">
        <f t="shared" si="171"/>
        <v>558.3608833855659</v>
      </c>
      <c r="CC159" s="59">
        <f t="shared" si="119"/>
        <v>851.69421671889927</v>
      </c>
      <c r="CD159" s="59">
        <f ca="1">AVERAGE(OFFSET($CC$3,0,0,'Données projet'!$E$12+1,1))-AVERAGE(OFFSET($H$3,0,0,'Données projet'!$E$12+1,1))</f>
        <v>281.84871057356037</v>
      </c>
      <c r="CE159" s="59">
        <f t="shared" si="148"/>
        <v>276.02211904126887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9.4996226559496897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9.4996226559496897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319</v>
      </c>
      <c r="CU159" s="17">
        <f>CT159*VLOOKUP('Données projet'!$B$13,Paramètres!$A$1:$I$89,3,0)*VLOOKUP('Données projet'!$B$13,Paramètres!$A$1:$I$89,5,0)</f>
        <v>253.79640000000001</v>
      </c>
      <c r="CV159" s="13">
        <f t="shared" si="173"/>
        <v>61.39816832228076</v>
      </c>
      <c r="CW159" s="20">
        <f t="shared" si="174"/>
        <v>548.96387316130563</v>
      </c>
      <c r="CX159" s="59">
        <f t="shared" si="122"/>
        <v>842.29720649463889</v>
      </c>
      <c r="CY159" s="59">
        <f ca="1">AVERAGE(OFFSET($CX$3,0,0,'Données projet'!$E$13+1,1))-AVERAGE(OFFSET($H$3,0,0,'Données projet'!$E$13+1,1))</f>
        <v>279.49721661620544</v>
      </c>
      <c r="CZ159" s="59">
        <f t="shared" si="150"/>
        <v>275.18739333988754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11.802856627217331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11.802856627217331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267</v>
      </c>
      <c r="DP159" s="17">
        <f>DO159*VLOOKUP('Données projet'!$B$14,Paramètres!$A$1:$I$89,3,0)*VLOOKUP('Données projet'!$B$14,Paramètres!$A$1:$I$89,5,0)</f>
        <v>270.738</v>
      </c>
      <c r="DQ159" s="13">
        <f t="shared" si="176"/>
        <v>65.005866623551711</v>
      </c>
      <c r="DR159" s="20">
        <f t="shared" si="177"/>
        <v>584.7539010360191</v>
      </c>
      <c r="DS159" s="59">
        <f t="shared" si="125"/>
        <v>878.08723436935247</v>
      </c>
      <c r="DT159" s="59">
        <f ca="1">AVERAGE(OFFSET($DS$3,0,0,'Données projet'!$E$14+1,1))-AVERAGE(OFFSET($H$3,0,0,'Données projet'!$E$14+1,1))</f>
        <v>308.80022073574963</v>
      </c>
      <c r="DU159" s="59">
        <f t="shared" si="152"/>
        <v>183.96267407004115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37.609208451254396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37.609208451254396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266.99999999999983</v>
      </c>
      <c r="EK159" s="17">
        <f>EJ159*VLOOKUP('Données projet'!$B$15,Paramètres!$A$1:$I$89,3,0)*VLOOKUP('Données projet'!$B$15,Paramètres!$A$1:$I$89,5,0)</f>
        <v>174.93839999999989</v>
      </c>
      <c r="EL159" s="13">
        <f t="shared" si="179"/>
        <v>44.194210865203175</v>
      </c>
      <c r="EM159" s="20">
        <f t="shared" si="180"/>
        <v>381.65596392356196</v>
      </c>
      <c r="EN159" s="59">
        <f t="shared" si="128"/>
        <v>674.98929725689527</v>
      </c>
      <c r="EO159" s="59">
        <f ca="1">AVERAGE(OFFSET($EN$3,0,0,'Données projet'!$E$15+1,1))-AVERAGE(OFFSET($H$3,0,0,'Données projet'!$E$15+1,1))</f>
        <v>178.71569711875242</v>
      </c>
      <c r="EP159" s="59">
        <f t="shared" si="154"/>
        <v>178.13848582064168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6.4352282508046246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6.4352282508046246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267</v>
      </c>
      <c r="FF159" s="17">
        <f>FE159*VLOOKUP('Données projet'!$B$16,Paramètres!$A$1:$I$89,3,0)*VLOOKUP('Données projet'!$B$16,Paramètres!$A$1:$I$89,5,0)</f>
        <v>224.92080000000001</v>
      </c>
      <c r="FG159" s="13">
        <f t="shared" si="182"/>
        <v>55.1830164775604</v>
      </c>
      <c r="FH159" s="20">
        <f t="shared" si="183"/>
        <v>487.84748036508444</v>
      </c>
      <c r="FI159" s="59">
        <f t="shared" si="131"/>
        <v>781.18081369841775</v>
      </c>
      <c r="FJ159" s="59">
        <f ca="1">AVERAGE(OFFSET($FI$3,0,0,'Données projet'!$E$16+1,1))-AVERAGE(OFFSET($H$3,0,0,'Données projet'!$E$16+1,1))</f>
        <v>247.22536892257716</v>
      </c>
      <c r="FK159" s="59">
        <f t="shared" si="156"/>
        <v>147.97952262756075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31.244573174888291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31.244573174888291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6">
        <f t="shared" si="110"/>
        <v>461.49894055233096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249.0000000000002</v>
      </c>
      <c r="O160" s="13">
        <f>N160*VLOOKUP('Données projet'!$B$9,Paramètres!$A$1:$I$89,3,0)*VLOOKUP('Données projet'!$B$9,Paramètres!$A$1:$I$89,5,0)</f>
        <v>217.52640000000019</v>
      </c>
      <c r="P160" s="13">
        <f t="shared" si="141"/>
        <v>53.576907690651304</v>
      </c>
      <c r="Q160" s="20">
        <f t="shared" si="162"/>
        <v>472.17159422788467</v>
      </c>
      <c r="R160" s="59">
        <f t="shared" si="109"/>
        <v>765.50492756121798</v>
      </c>
      <c r="S160" s="59">
        <f ca="1">AVERAGE(OFFSET($R$3,0,0,'Données projet'!$E$9+1,1))-AVERAGE(OFFSET($H$3,0,0,'Données projet'!$E$9+1,1))</f>
        <v>253.73326067725128</v>
      </c>
      <c r="T160" s="59">
        <f t="shared" si="142"/>
        <v>317.76427047458026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11.149691322861248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11.149691322861248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732.99999999999966</v>
      </c>
      <c r="AJ160" s="13">
        <f>AI160*VLOOKUP('Données projet'!$B$10,Paramètres!$A$1:$I$89,3,0)*VLOOKUP('Données projet'!$B$10,Paramètres!$A$1:$I$89,5,0)</f>
        <v>352.57299999999987</v>
      </c>
      <c r="AK160" s="13">
        <f t="shared" si="164"/>
        <v>82.092092597941644</v>
      </c>
      <c r="AL160" s="20">
        <f t="shared" si="165"/>
        <v>757.04170294141477</v>
      </c>
      <c r="AM160" s="59">
        <f t="shared" si="113"/>
        <v>1050.375036274748</v>
      </c>
      <c r="AN160" s="59">
        <f ca="1">AVERAGE(OFFSET($AM$3,0,0,'Données projet'!$E$10+1,1))-AVERAGE(OFFSET($H$3,0,0,'Données projet'!$E$10+1,1))</f>
        <v>349.65790906807746</v>
      </c>
      <c r="AO160" s="59">
        <f t="shared" si="144"/>
        <v>291.88925884278888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27.533078737721311</v>
      </c>
      <c r="AV160" s="21">
        <f>EXP(-LN(2)/25)*AV159+(1-EXP(-LN(2)/25))/(LN(2)/25)*Calculateur!AQ160*Calculateur!AS160*VLOOKUP('Données projet'!$B$10,Paramètres!$A$1:$I$89,3,0)*0.475*44/12</f>
        <v>1.2178684725243387</v>
      </c>
      <c r="AW160" s="21">
        <f>EXP(-LN(2)/2)*AW159+(1-EXP(-LN(2)/2))/(LN(2)/2)*AQ160*AT160*VLOOKUP('Données projet'!$B$10,Paramètres!$A$1:$I$89,3,0)*0.475*44/12</f>
        <v>3.9142374456829326E-21</v>
      </c>
      <c r="AX160" s="21">
        <f t="shared" si="166"/>
        <v>28.750947210245648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319</v>
      </c>
      <c r="BE160" s="13">
        <f>BD160*VLOOKUP('Données projet'!$B$11,Paramètres!$A$1:$I$89,3,0)*VLOOKUP('Données projet'!$B$11,Paramètres!$A$1:$I$89,5,0)</f>
        <v>253.79640000000001</v>
      </c>
      <c r="BF160" s="13">
        <f t="shared" si="167"/>
        <v>61.39816832228076</v>
      </c>
      <c r="BG160" s="20">
        <f t="shared" si="168"/>
        <v>548.96387316130563</v>
      </c>
      <c r="BH160" s="59">
        <f t="shared" si="116"/>
        <v>842.29720649463889</v>
      </c>
      <c r="BI160" s="59">
        <f ca="1">AVERAGE(OFFSET($BH$3,0,0,'Données projet'!$E$11+1,1))-AVERAGE(OFFSET($H$3,0,0,'Données projet'!$E$11+1,1))</f>
        <v>279.49721661620544</v>
      </c>
      <c r="BJ160" s="59">
        <f t="shared" si="146"/>
        <v>275.18739333988754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11.571409807789296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11.571409807789296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266.99999999999983</v>
      </c>
      <c r="BZ160" s="13">
        <f>BY160*VLOOKUP('Données projet'!$B$12,Paramètres!$A$1:$I$89,3,0)*VLOOKUP('Données projet'!$B$12,Paramètres!$A$1:$I$89,5,0)</f>
        <v>258.24239999999986</v>
      </c>
      <c r="CA160" s="13">
        <f t="shared" si="170"/>
        <v>62.347580891234152</v>
      </c>
      <c r="CB160" s="20">
        <f t="shared" si="171"/>
        <v>558.3608833855659</v>
      </c>
      <c r="CC160" s="59">
        <f t="shared" si="119"/>
        <v>851.69421671889927</v>
      </c>
      <c r="CD160" s="59">
        <f ca="1">AVERAGE(OFFSET($CC$3,0,0,'Données projet'!$E$12+1,1))-AVERAGE(OFFSET($H$3,0,0,'Données projet'!$E$12+1,1))</f>
        <v>281.84871057356037</v>
      </c>
      <c r="CE160" s="59">
        <f t="shared" si="148"/>
        <v>276.02211904126887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9.3133408498642076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9.3133408498642076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319</v>
      </c>
      <c r="CU160" s="17">
        <f>CT160*VLOOKUP('Données projet'!$B$13,Paramètres!$A$1:$I$89,3,0)*VLOOKUP('Données projet'!$B$13,Paramètres!$A$1:$I$89,5,0)</f>
        <v>253.79640000000001</v>
      </c>
      <c r="CV160" s="13">
        <f t="shared" si="173"/>
        <v>61.39816832228076</v>
      </c>
      <c r="CW160" s="20">
        <f t="shared" si="174"/>
        <v>548.96387316130563</v>
      </c>
      <c r="CX160" s="59">
        <f t="shared" si="122"/>
        <v>842.29720649463889</v>
      </c>
      <c r="CY160" s="59">
        <f ca="1">AVERAGE(OFFSET($CX$3,0,0,'Données projet'!$E$13+1,1))-AVERAGE(OFFSET($H$3,0,0,'Données projet'!$E$13+1,1))</f>
        <v>279.49721661620544</v>
      </c>
      <c r="CZ160" s="59">
        <f t="shared" si="150"/>
        <v>275.18739333988754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11.571409807789296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11.571409807789296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267</v>
      </c>
      <c r="DP160" s="17">
        <f>DO160*VLOOKUP('Données projet'!$B$14,Paramètres!$A$1:$I$89,3,0)*VLOOKUP('Données projet'!$B$14,Paramètres!$A$1:$I$89,5,0)</f>
        <v>270.738</v>
      </c>
      <c r="DQ160" s="13">
        <f t="shared" si="176"/>
        <v>65.005866623551711</v>
      </c>
      <c r="DR160" s="20">
        <f t="shared" si="177"/>
        <v>584.7539010360191</v>
      </c>
      <c r="DS160" s="59">
        <f t="shared" si="125"/>
        <v>878.08723436935247</v>
      </c>
      <c r="DT160" s="59">
        <f ca="1">AVERAGE(OFFSET($DS$3,0,0,'Données projet'!$E$14+1,1))-AVERAGE(OFFSET($H$3,0,0,'Données projet'!$E$14+1,1))</f>
        <v>308.80022073574963</v>
      </c>
      <c r="DU160" s="59">
        <f t="shared" si="152"/>
        <v>183.96267407004115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36.871714812877379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36.871714812877379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266.99999999999983</v>
      </c>
      <c r="EK160" s="17">
        <f>EJ160*VLOOKUP('Données projet'!$B$15,Paramètres!$A$1:$I$89,3,0)*VLOOKUP('Données projet'!$B$15,Paramètres!$A$1:$I$89,5,0)</f>
        <v>174.93839999999989</v>
      </c>
      <c r="EL160" s="13">
        <f t="shared" si="179"/>
        <v>44.194210865203175</v>
      </c>
      <c r="EM160" s="20">
        <f t="shared" si="180"/>
        <v>381.65596392356196</v>
      </c>
      <c r="EN160" s="59">
        <f t="shared" si="128"/>
        <v>674.98929725689527</v>
      </c>
      <c r="EO160" s="59">
        <f ca="1">AVERAGE(OFFSET($EN$3,0,0,'Données projet'!$E$15+1,1))-AVERAGE(OFFSET($H$3,0,0,'Données projet'!$E$15+1,1))</f>
        <v>178.71569711875242</v>
      </c>
      <c r="EP160" s="59">
        <f t="shared" si="154"/>
        <v>178.13848582064168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6.3090373499080075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6.3090373499080075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267</v>
      </c>
      <c r="FF160" s="17">
        <f>FE160*VLOOKUP('Données projet'!$B$16,Paramètres!$A$1:$I$89,3,0)*VLOOKUP('Données projet'!$B$16,Paramètres!$A$1:$I$89,5,0)</f>
        <v>224.92080000000001</v>
      </c>
      <c r="FG160" s="13">
        <f t="shared" si="182"/>
        <v>55.1830164775604</v>
      </c>
      <c r="FH160" s="20">
        <f t="shared" si="183"/>
        <v>487.84748036508444</v>
      </c>
      <c r="FI160" s="59">
        <f t="shared" si="131"/>
        <v>781.18081369841775</v>
      </c>
      <c r="FJ160" s="59">
        <f ca="1">AVERAGE(OFFSET($FI$3,0,0,'Données projet'!$E$16+1,1))-AVERAGE(OFFSET($H$3,0,0,'Données projet'!$E$16+1,1))</f>
        <v>247.22536892257716</v>
      </c>
      <c r="FK160" s="59">
        <f t="shared" si="156"/>
        <v>147.97952262756075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30.631886152236614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30.631886152236614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6">
        <f t="shared" si="110"/>
        <v>462.5428177419758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249.0000000000002</v>
      </c>
      <c r="O161" s="13">
        <f>N161*VLOOKUP('Données projet'!$B$9,Paramètres!$A$1:$I$89,3,0)*VLOOKUP('Données projet'!$B$9,Paramètres!$A$1:$I$89,5,0)</f>
        <v>217.52640000000019</v>
      </c>
      <c r="P161" s="13">
        <f t="shared" si="141"/>
        <v>53.576907690651304</v>
      </c>
      <c r="Q161" s="20">
        <f t="shared" si="162"/>
        <v>472.17159422788467</v>
      </c>
      <c r="R161" s="59">
        <f t="shared" si="109"/>
        <v>765.50492756121798</v>
      </c>
      <c r="S161" s="59">
        <f ca="1">AVERAGE(OFFSET($R$3,0,0,'Données projet'!$E$9+1,1))-AVERAGE(OFFSET($H$3,0,0,'Données projet'!$E$9+1,1))</f>
        <v>253.73326067725128</v>
      </c>
      <c r="T161" s="59">
        <f t="shared" si="142"/>
        <v>317.76427047458026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10.931052676660139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10.931052676660139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732.99999999999966</v>
      </c>
      <c r="AJ161" s="13">
        <f>AI161*VLOOKUP('Données projet'!$B$10,Paramètres!$A$1:$I$89,3,0)*VLOOKUP('Données projet'!$B$10,Paramètres!$A$1:$I$89,5,0)</f>
        <v>352.57299999999987</v>
      </c>
      <c r="AK161" s="13">
        <f t="shared" si="164"/>
        <v>82.092092597941644</v>
      </c>
      <c r="AL161" s="20">
        <f t="shared" si="165"/>
        <v>757.04170294141477</v>
      </c>
      <c r="AM161" s="59">
        <f t="shared" si="113"/>
        <v>1050.375036274748</v>
      </c>
      <c r="AN161" s="59">
        <f ca="1">AVERAGE(OFFSET($AM$3,0,0,'Données projet'!$E$10+1,1))-AVERAGE(OFFSET($H$3,0,0,'Données projet'!$E$10+1,1))</f>
        <v>349.65790906807746</v>
      </c>
      <c r="AO161" s="59">
        <f t="shared" si="144"/>
        <v>291.88925884278888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26.993171857194405</v>
      </c>
      <c r="AV161" s="21">
        <f>EXP(-LN(2)/25)*AV160+(1-EXP(-LN(2)/25))/(LN(2)/25)*Calculateur!AQ161*Calculateur!AS161*VLOOKUP('Données projet'!$B$10,Paramètres!$A$1:$I$89,3,0)*0.475*44/12</f>
        <v>1.1845657950982411</v>
      </c>
      <c r="AW161" s="21">
        <f>EXP(-LN(2)/2)*AW160+(1-EXP(-LN(2)/2))/(LN(2)/2)*AQ161*AT161*VLOOKUP('Données projet'!$B$10,Paramètres!$A$1:$I$89,3,0)*0.475*44/12</f>
        <v>2.7677838410167121E-21</v>
      </c>
      <c r="AX161" s="21">
        <f t="shared" si="166"/>
        <v>28.177737652292645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319</v>
      </c>
      <c r="BE161" s="13">
        <f>BD161*VLOOKUP('Données projet'!$B$11,Paramètres!$A$1:$I$89,3,0)*VLOOKUP('Données projet'!$B$11,Paramètres!$A$1:$I$89,5,0)</f>
        <v>253.79640000000001</v>
      </c>
      <c r="BF161" s="13">
        <f t="shared" si="167"/>
        <v>61.39816832228076</v>
      </c>
      <c r="BG161" s="20">
        <f t="shared" si="168"/>
        <v>548.96387316130563</v>
      </c>
      <c r="BH161" s="59">
        <f t="shared" si="116"/>
        <v>842.29720649463889</v>
      </c>
      <c r="BI161" s="59">
        <f ca="1">AVERAGE(OFFSET($BH$3,0,0,'Données projet'!$E$11+1,1))-AVERAGE(OFFSET($H$3,0,0,'Données projet'!$E$11+1,1))</f>
        <v>279.49721661620544</v>
      </c>
      <c r="BJ161" s="59">
        <f t="shared" si="146"/>
        <v>275.18739333988754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11.344501519321625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11.344501519321625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266.99999999999983</v>
      </c>
      <c r="BZ161" s="13">
        <f>BY161*VLOOKUP('Données projet'!$B$12,Paramètres!$A$1:$I$89,3,0)*VLOOKUP('Données projet'!$B$12,Paramètres!$A$1:$I$89,5,0)</f>
        <v>258.24239999999986</v>
      </c>
      <c r="CA161" s="13">
        <f t="shared" si="170"/>
        <v>62.347580891234152</v>
      </c>
      <c r="CB161" s="20">
        <f t="shared" si="171"/>
        <v>558.3608833855659</v>
      </c>
      <c r="CC161" s="59">
        <f t="shared" si="119"/>
        <v>851.69421671889927</v>
      </c>
      <c r="CD161" s="59">
        <f ca="1">AVERAGE(OFFSET($CC$3,0,0,'Données projet'!$E$12+1,1))-AVERAGE(OFFSET($H$3,0,0,'Données projet'!$E$12+1,1))</f>
        <v>281.84871057356037</v>
      </c>
      <c r="CE161" s="59">
        <f t="shared" si="148"/>
        <v>276.02211904126887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9.1307119163753789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9.1307119163753789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319</v>
      </c>
      <c r="CU161" s="17">
        <f>CT161*VLOOKUP('Données projet'!$B$13,Paramètres!$A$1:$I$89,3,0)*VLOOKUP('Données projet'!$B$13,Paramètres!$A$1:$I$89,5,0)</f>
        <v>253.79640000000001</v>
      </c>
      <c r="CV161" s="13">
        <f t="shared" si="173"/>
        <v>61.39816832228076</v>
      </c>
      <c r="CW161" s="20">
        <f t="shared" si="174"/>
        <v>548.96387316130563</v>
      </c>
      <c r="CX161" s="59">
        <f t="shared" si="122"/>
        <v>842.29720649463889</v>
      </c>
      <c r="CY161" s="59">
        <f ca="1">AVERAGE(OFFSET($CX$3,0,0,'Données projet'!$E$13+1,1))-AVERAGE(OFFSET($H$3,0,0,'Données projet'!$E$13+1,1))</f>
        <v>279.49721661620544</v>
      </c>
      <c r="CZ161" s="59">
        <f t="shared" si="150"/>
        <v>275.18739333988754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11.344501519321625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11.344501519321625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267</v>
      </c>
      <c r="DP161" s="17">
        <f>DO161*VLOOKUP('Données projet'!$B$14,Paramètres!$A$1:$I$89,3,0)*VLOOKUP('Données projet'!$B$14,Paramètres!$A$1:$I$89,5,0)</f>
        <v>270.738</v>
      </c>
      <c r="DQ161" s="13">
        <f t="shared" si="176"/>
        <v>65.005866623551711</v>
      </c>
      <c r="DR161" s="20">
        <f t="shared" si="177"/>
        <v>584.7539010360191</v>
      </c>
      <c r="DS161" s="59">
        <f t="shared" si="125"/>
        <v>878.08723436935247</v>
      </c>
      <c r="DT161" s="59">
        <f ca="1">AVERAGE(OFFSET($DS$3,0,0,'Données projet'!$E$14+1,1))-AVERAGE(OFFSET($H$3,0,0,'Données projet'!$E$14+1,1))</f>
        <v>308.80022073574963</v>
      </c>
      <c r="DU161" s="59">
        <f t="shared" si="152"/>
        <v>183.96267407004115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36.148682974922231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36.148682974922231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266.99999999999983</v>
      </c>
      <c r="EK161" s="17">
        <f>EJ161*VLOOKUP('Données projet'!$B$15,Paramètres!$A$1:$I$89,3,0)*VLOOKUP('Données projet'!$B$15,Paramètres!$A$1:$I$89,5,0)</f>
        <v>174.93839999999989</v>
      </c>
      <c r="EL161" s="13">
        <f t="shared" si="179"/>
        <v>44.194210865203175</v>
      </c>
      <c r="EM161" s="20">
        <f t="shared" si="180"/>
        <v>381.65596392356196</v>
      </c>
      <c r="EN161" s="59">
        <f t="shared" si="128"/>
        <v>674.98929725689527</v>
      </c>
      <c r="EO161" s="59">
        <f ca="1">AVERAGE(OFFSET($EN$3,0,0,'Données projet'!$E$15+1,1))-AVERAGE(OFFSET($H$3,0,0,'Données projet'!$E$15+1,1))</f>
        <v>178.71569711875242</v>
      </c>
      <c r="EP161" s="59">
        <f t="shared" si="154"/>
        <v>178.13848582064168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6.1853209756091232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6.1853209756091232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267</v>
      </c>
      <c r="FF161" s="17">
        <f>FE161*VLOOKUP('Données projet'!$B$16,Paramètres!$A$1:$I$89,3,0)*VLOOKUP('Données projet'!$B$16,Paramètres!$A$1:$I$89,5,0)</f>
        <v>224.92080000000001</v>
      </c>
      <c r="FG161" s="13">
        <f t="shared" si="182"/>
        <v>55.1830164775604</v>
      </c>
      <c r="FH161" s="20">
        <f t="shared" si="183"/>
        <v>487.84748036508444</v>
      </c>
      <c r="FI161" s="59">
        <f t="shared" si="131"/>
        <v>781.18081369841775</v>
      </c>
      <c r="FJ161" s="59">
        <f ca="1">AVERAGE(OFFSET($FI$3,0,0,'Données projet'!$E$16+1,1))-AVERAGE(OFFSET($H$3,0,0,'Données projet'!$E$16+1,1))</f>
        <v>247.22536892257716</v>
      </c>
      <c r="FK161" s="59">
        <f t="shared" si="156"/>
        <v>147.97952262756075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30.031213548396956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30.031213548396956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6">
        <f t="shared" si="110"/>
        <v>463.58654312460754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249.0000000000002</v>
      </c>
      <c r="O162" s="13">
        <f>N162*VLOOKUP('Données projet'!$B$9,Paramètres!$A$1:$I$89,3,0)*VLOOKUP('Données projet'!$B$9,Paramètres!$A$1:$I$89,5,0)</f>
        <v>217.52640000000019</v>
      </c>
      <c r="P162" s="13">
        <f t="shared" si="141"/>
        <v>53.576907690651304</v>
      </c>
      <c r="Q162" s="20">
        <f t="shared" si="162"/>
        <v>472.17159422788467</v>
      </c>
      <c r="R162" s="59">
        <f t="shared" si="109"/>
        <v>765.50492756121798</v>
      </c>
      <c r="S162" s="59">
        <f ca="1">AVERAGE(OFFSET($R$3,0,0,'Données projet'!$E$9+1,1))-AVERAGE(OFFSET($H$3,0,0,'Données projet'!$E$9+1,1))</f>
        <v>253.73326067725128</v>
      </c>
      <c r="T162" s="59">
        <f t="shared" si="142"/>
        <v>317.76427047458026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10.716701400954626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10.716701400954626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732.99999999999966</v>
      </c>
      <c r="AJ162" s="13">
        <f>AI162*VLOOKUP('Données projet'!$B$10,Paramètres!$A$1:$I$89,3,0)*VLOOKUP('Données projet'!$B$10,Paramètres!$A$1:$I$89,5,0)</f>
        <v>352.57299999999987</v>
      </c>
      <c r="AK162" s="13">
        <f t="shared" si="164"/>
        <v>82.092092597941644</v>
      </c>
      <c r="AL162" s="20">
        <f t="shared" si="165"/>
        <v>757.04170294141477</v>
      </c>
      <c r="AM162" s="59">
        <f t="shared" si="113"/>
        <v>1050.375036274748</v>
      </c>
      <c r="AN162" s="59">
        <f ca="1">AVERAGE(OFFSET($AM$3,0,0,'Données projet'!$E$10+1,1))-AVERAGE(OFFSET($H$3,0,0,'Données projet'!$E$10+1,1))</f>
        <v>349.65790906807746</v>
      </c>
      <c r="AO162" s="59">
        <f t="shared" si="144"/>
        <v>291.88925884278888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26.46385222128395</v>
      </c>
      <c r="AV162" s="21">
        <f>EXP(-LN(2)/25)*AV161+(1-EXP(-LN(2)/25))/(LN(2)/25)*Calculateur!AQ162*Calculateur!AS162*VLOOKUP('Données projet'!$B$10,Paramètres!$A$1:$I$89,3,0)*0.475*44/12</f>
        <v>1.152173781137672</v>
      </c>
      <c r="AW162" s="21">
        <f>EXP(-LN(2)/2)*AW161+(1-EXP(-LN(2)/2))/(LN(2)/2)*AQ162*AT162*VLOOKUP('Données projet'!$B$10,Paramètres!$A$1:$I$89,3,0)*0.475*44/12</f>
        <v>1.9571187228414663E-21</v>
      </c>
      <c r="AX162" s="21">
        <f t="shared" si="166"/>
        <v>27.616026002421624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319</v>
      </c>
      <c r="BE162" s="13">
        <f>BD162*VLOOKUP('Données projet'!$B$11,Paramètres!$A$1:$I$89,3,0)*VLOOKUP('Données projet'!$B$11,Paramètres!$A$1:$I$89,5,0)</f>
        <v>253.79640000000001</v>
      </c>
      <c r="BF162" s="13">
        <f t="shared" si="167"/>
        <v>61.39816832228076</v>
      </c>
      <c r="BG162" s="20">
        <f t="shared" si="168"/>
        <v>548.96387316130563</v>
      </c>
      <c r="BH162" s="59">
        <f t="shared" si="116"/>
        <v>842.29720649463889</v>
      </c>
      <c r="BI162" s="59">
        <f ca="1">AVERAGE(OFFSET($BH$3,0,0,'Données projet'!$E$11+1,1))-AVERAGE(OFFSET($H$3,0,0,'Données projet'!$E$11+1,1))</f>
        <v>279.49721661620544</v>
      </c>
      <c r="BJ162" s="59">
        <f t="shared" si="146"/>
        <v>275.18739333988754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11.122042763990414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11.122042763990414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266.99999999999983</v>
      </c>
      <c r="BZ162" s="13">
        <f>BY162*VLOOKUP('Données projet'!$B$12,Paramètres!$A$1:$I$89,3,0)*VLOOKUP('Données projet'!$B$12,Paramètres!$A$1:$I$89,5,0)</f>
        <v>258.24239999999986</v>
      </c>
      <c r="CA162" s="13">
        <f t="shared" si="170"/>
        <v>62.347580891234152</v>
      </c>
      <c r="CB162" s="20">
        <f t="shared" si="171"/>
        <v>558.3608833855659</v>
      </c>
      <c r="CC162" s="59">
        <f t="shared" si="119"/>
        <v>851.69421671889927</v>
      </c>
      <c r="CD162" s="59">
        <f ca="1">AVERAGE(OFFSET($CC$3,0,0,'Données projet'!$E$12+1,1))-AVERAGE(OFFSET($H$3,0,0,'Données projet'!$E$12+1,1))</f>
        <v>281.84871057356037</v>
      </c>
      <c r="CE162" s="59">
        <f t="shared" si="148"/>
        <v>276.02211904126887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8.9516642248796163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8.9516642248796163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319</v>
      </c>
      <c r="CU162" s="17">
        <f>CT162*VLOOKUP('Données projet'!$B$13,Paramètres!$A$1:$I$89,3,0)*VLOOKUP('Données projet'!$B$13,Paramètres!$A$1:$I$89,5,0)</f>
        <v>253.79640000000001</v>
      </c>
      <c r="CV162" s="13">
        <f t="shared" si="173"/>
        <v>61.39816832228076</v>
      </c>
      <c r="CW162" s="20">
        <f t="shared" si="174"/>
        <v>548.96387316130563</v>
      </c>
      <c r="CX162" s="59">
        <f t="shared" si="122"/>
        <v>842.29720649463889</v>
      </c>
      <c r="CY162" s="59">
        <f ca="1">AVERAGE(OFFSET($CX$3,0,0,'Données projet'!$E$13+1,1))-AVERAGE(OFFSET($H$3,0,0,'Données projet'!$E$13+1,1))</f>
        <v>279.49721661620544</v>
      </c>
      <c r="CZ162" s="59">
        <f t="shared" si="150"/>
        <v>275.18739333988754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11.122042763990414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11.122042763990414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267</v>
      </c>
      <c r="DP162" s="17">
        <f>DO162*VLOOKUP('Données projet'!$B$14,Paramètres!$A$1:$I$89,3,0)*VLOOKUP('Données projet'!$B$14,Paramètres!$A$1:$I$89,5,0)</f>
        <v>270.738</v>
      </c>
      <c r="DQ162" s="13">
        <f t="shared" si="176"/>
        <v>65.005866623551711</v>
      </c>
      <c r="DR162" s="20">
        <f t="shared" si="177"/>
        <v>584.7539010360191</v>
      </c>
      <c r="DS162" s="59">
        <f t="shared" si="125"/>
        <v>878.08723436935247</v>
      </c>
      <c r="DT162" s="59">
        <f ca="1">AVERAGE(OFFSET($DS$3,0,0,'Données projet'!$E$14+1,1))-AVERAGE(OFFSET($H$3,0,0,'Données projet'!$E$14+1,1))</f>
        <v>308.80022073574963</v>
      </c>
      <c r="DU162" s="59">
        <f t="shared" si="152"/>
        <v>183.96267407004115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35.439829350303512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35.439829350303512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266.99999999999983</v>
      </c>
      <c r="EK162" s="17">
        <f>EJ162*VLOOKUP('Données projet'!$B$15,Paramètres!$A$1:$I$89,3,0)*VLOOKUP('Données projet'!$B$15,Paramètres!$A$1:$I$89,5,0)</f>
        <v>174.93839999999989</v>
      </c>
      <c r="EL162" s="13">
        <f t="shared" si="179"/>
        <v>44.194210865203175</v>
      </c>
      <c r="EM162" s="20">
        <f t="shared" si="180"/>
        <v>381.65596392356196</v>
      </c>
      <c r="EN162" s="59">
        <f t="shared" si="128"/>
        <v>674.98929725689527</v>
      </c>
      <c r="EO162" s="59">
        <f ca="1">AVERAGE(OFFSET($EN$3,0,0,'Données projet'!$E$15+1,1))-AVERAGE(OFFSET($H$3,0,0,'Données projet'!$E$15+1,1))</f>
        <v>178.71569711875242</v>
      </c>
      <c r="EP162" s="59">
        <f t="shared" si="154"/>
        <v>178.13848582064168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6.0640306039507026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6.0640306039507026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267</v>
      </c>
      <c r="FF162" s="17">
        <f>FE162*VLOOKUP('Données projet'!$B$16,Paramètres!$A$1:$I$89,3,0)*VLOOKUP('Données projet'!$B$16,Paramètres!$A$1:$I$89,5,0)</f>
        <v>224.92080000000001</v>
      </c>
      <c r="FG162" s="13">
        <f t="shared" si="182"/>
        <v>55.1830164775604</v>
      </c>
      <c r="FH162" s="20">
        <f t="shared" si="183"/>
        <v>487.84748036508444</v>
      </c>
      <c r="FI162" s="59">
        <f t="shared" si="131"/>
        <v>781.18081369841775</v>
      </c>
      <c r="FJ162" s="59">
        <f ca="1">AVERAGE(OFFSET($FI$3,0,0,'Données projet'!$E$16+1,1))-AVERAGE(OFFSET($H$3,0,0,'Données projet'!$E$16+1,1))</f>
        <v>247.22536892257716</v>
      </c>
      <c r="FK162" s="59">
        <f t="shared" si="156"/>
        <v>147.97952262756075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29.442319767944479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29.442319767944479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6">
        <f t="shared" si="110"/>
        <v>464.63011776574541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249.0000000000002</v>
      </c>
      <c r="O163" s="13">
        <f>N163*VLOOKUP('Données projet'!$B$9,Paramètres!$A$1:$I$89,3,0)*VLOOKUP('Données projet'!$B$9,Paramètres!$A$1:$I$89,5,0)</f>
        <v>217.52640000000019</v>
      </c>
      <c r="P163" s="13">
        <f t="shared" si="141"/>
        <v>53.576907690651304</v>
      </c>
      <c r="Q163" s="20">
        <f t="shared" si="162"/>
        <v>472.17159422788467</v>
      </c>
      <c r="R163" s="59">
        <f t="shared" si="109"/>
        <v>765.50492756121798</v>
      </c>
      <c r="S163" s="59">
        <f ca="1">AVERAGE(OFFSET($R$3,0,0,'Données projet'!$E$9+1,1))-AVERAGE(OFFSET($H$3,0,0,'Données projet'!$E$9+1,1))</f>
        <v>253.73326067725128</v>
      </c>
      <c r="T163" s="59">
        <f t="shared" si="142"/>
        <v>317.76427047458026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10.50655342302433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10.50655342302433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732.99999999999966</v>
      </c>
      <c r="AJ163" s="13">
        <f>AI163*VLOOKUP('Données projet'!$B$10,Paramètres!$A$1:$I$89,3,0)*VLOOKUP('Données projet'!$B$10,Paramètres!$A$1:$I$89,5,0)</f>
        <v>352.57299999999987</v>
      </c>
      <c r="AK163" s="13">
        <f t="shared" si="164"/>
        <v>82.092092597941644</v>
      </c>
      <c r="AL163" s="20">
        <f t="shared" si="165"/>
        <v>757.04170294141477</v>
      </c>
      <c r="AM163" s="59">
        <f t="shared" si="113"/>
        <v>1050.375036274748</v>
      </c>
      <c r="AN163" s="59">
        <f ca="1">AVERAGE(OFFSET($AM$3,0,0,'Données projet'!$E$10+1,1))-AVERAGE(OFFSET($H$3,0,0,'Données projet'!$E$10+1,1))</f>
        <v>349.65790906807746</v>
      </c>
      <c r="AO163" s="59">
        <f t="shared" si="144"/>
        <v>291.88925884278888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25.944912220580601</v>
      </c>
      <c r="AV163" s="21">
        <f>EXP(-LN(2)/25)*AV162+(1-EXP(-LN(2)/25))/(LN(2)/25)*Calculateur!AQ163*Calculateur!AS163*VLOOKUP('Données projet'!$B$10,Paramètres!$A$1:$I$89,3,0)*0.475*44/12</f>
        <v>1.1206675285022765</v>
      </c>
      <c r="AW163" s="21">
        <f>EXP(-LN(2)/2)*AW162+(1-EXP(-LN(2)/2))/(LN(2)/2)*AQ163*AT163*VLOOKUP('Données projet'!$B$10,Paramètres!$A$1:$I$89,3,0)*0.475*44/12</f>
        <v>1.3838919205083561E-21</v>
      </c>
      <c r="AX163" s="21">
        <f t="shared" si="166"/>
        <v>27.065579749082879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319</v>
      </c>
      <c r="BE163" s="13">
        <f>BD163*VLOOKUP('Données projet'!$B$11,Paramètres!$A$1:$I$89,3,0)*VLOOKUP('Données projet'!$B$11,Paramètres!$A$1:$I$89,5,0)</f>
        <v>253.79640000000001</v>
      </c>
      <c r="BF163" s="13">
        <f t="shared" si="167"/>
        <v>61.39816832228076</v>
      </c>
      <c r="BG163" s="20">
        <f t="shared" si="168"/>
        <v>548.96387316130563</v>
      </c>
      <c r="BH163" s="59">
        <f t="shared" si="116"/>
        <v>842.29720649463889</v>
      </c>
      <c r="BI163" s="59">
        <f ca="1">AVERAGE(OFFSET($BH$3,0,0,'Données projet'!$E$11+1,1))-AVERAGE(OFFSET($H$3,0,0,'Données projet'!$E$11+1,1))</f>
        <v>279.49721661620544</v>
      </c>
      <c r="BJ163" s="59">
        <f t="shared" si="146"/>
        <v>275.18739333988754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10.903946289164805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10.903946289164805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266.99999999999983</v>
      </c>
      <c r="BZ163" s="13">
        <f>BY163*VLOOKUP('Données projet'!$B$12,Paramètres!$A$1:$I$89,3,0)*VLOOKUP('Données projet'!$B$12,Paramètres!$A$1:$I$89,5,0)</f>
        <v>258.24239999999986</v>
      </c>
      <c r="CA163" s="13">
        <f t="shared" si="170"/>
        <v>62.347580891234152</v>
      </c>
      <c r="CB163" s="20">
        <f t="shared" si="171"/>
        <v>558.3608833855659</v>
      </c>
      <c r="CC163" s="59">
        <f t="shared" si="119"/>
        <v>851.69421671889927</v>
      </c>
      <c r="CD163" s="59">
        <f ca="1">AVERAGE(OFFSET($CC$3,0,0,'Données projet'!$E$12+1,1))-AVERAGE(OFFSET($H$3,0,0,'Données projet'!$E$12+1,1))</f>
        <v>281.84871057356037</v>
      </c>
      <c r="CE163" s="59">
        <f t="shared" si="148"/>
        <v>276.02211904126887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8.7761275494057767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8.7761275494057767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319</v>
      </c>
      <c r="CU163" s="17">
        <f>CT163*VLOOKUP('Données projet'!$B$13,Paramètres!$A$1:$I$89,3,0)*VLOOKUP('Données projet'!$B$13,Paramètres!$A$1:$I$89,5,0)</f>
        <v>253.79640000000001</v>
      </c>
      <c r="CV163" s="13">
        <f t="shared" si="173"/>
        <v>61.39816832228076</v>
      </c>
      <c r="CW163" s="20">
        <f t="shared" si="174"/>
        <v>548.96387316130563</v>
      </c>
      <c r="CX163" s="59">
        <f t="shared" si="122"/>
        <v>842.29720649463889</v>
      </c>
      <c r="CY163" s="59">
        <f ca="1">AVERAGE(OFFSET($CX$3,0,0,'Données projet'!$E$13+1,1))-AVERAGE(OFFSET($H$3,0,0,'Données projet'!$E$13+1,1))</f>
        <v>279.49721661620544</v>
      </c>
      <c r="CZ163" s="59">
        <f t="shared" si="150"/>
        <v>275.18739333988754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10.903946289164805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10.903946289164805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267</v>
      </c>
      <c r="DP163" s="17">
        <f>DO163*VLOOKUP('Données projet'!$B$14,Paramètres!$A$1:$I$89,3,0)*VLOOKUP('Données projet'!$B$14,Paramètres!$A$1:$I$89,5,0)</f>
        <v>270.738</v>
      </c>
      <c r="DQ163" s="13">
        <f t="shared" si="176"/>
        <v>65.005866623551711</v>
      </c>
      <c r="DR163" s="20">
        <f t="shared" si="177"/>
        <v>584.7539010360191</v>
      </c>
      <c r="DS163" s="59">
        <f t="shared" si="125"/>
        <v>878.08723436935247</v>
      </c>
      <c r="DT163" s="59">
        <f ca="1">AVERAGE(OFFSET($DS$3,0,0,'Données projet'!$E$14+1,1))-AVERAGE(OFFSET($H$3,0,0,'Données projet'!$E$14+1,1))</f>
        <v>308.80022073574963</v>
      </c>
      <c r="DU163" s="59">
        <f t="shared" si="152"/>
        <v>183.96267407004115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34.744875912905542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34.744875912905542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266.99999999999983</v>
      </c>
      <c r="EK163" s="17">
        <f>EJ163*VLOOKUP('Données projet'!$B$15,Paramètres!$A$1:$I$89,3,0)*VLOOKUP('Données projet'!$B$15,Paramètres!$A$1:$I$89,5,0)</f>
        <v>174.93839999999989</v>
      </c>
      <c r="EL163" s="13">
        <f t="shared" si="179"/>
        <v>44.194210865203175</v>
      </c>
      <c r="EM163" s="20">
        <f t="shared" si="180"/>
        <v>381.65596392356196</v>
      </c>
      <c r="EN163" s="59">
        <f t="shared" si="128"/>
        <v>674.98929725689527</v>
      </c>
      <c r="EO163" s="59">
        <f ca="1">AVERAGE(OFFSET($EN$3,0,0,'Données projet'!$E$15+1,1))-AVERAGE(OFFSET($H$3,0,0,'Données projet'!$E$15+1,1))</f>
        <v>178.71569711875242</v>
      </c>
      <c r="EP163" s="59">
        <f t="shared" si="154"/>
        <v>178.13848582064168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5.9451186625006818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5.9451186625006818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267</v>
      </c>
      <c r="FF163" s="17">
        <f>FE163*VLOOKUP('Données projet'!$B$16,Paramètres!$A$1:$I$89,3,0)*VLOOKUP('Données projet'!$B$16,Paramètres!$A$1:$I$89,5,0)</f>
        <v>224.92080000000001</v>
      </c>
      <c r="FG163" s="13">
        <f t="shared" si="182"/>
        <v>55.1830164775604</v>
      </c>
      <c r="FH163" s="20">
        <f t="shared" si="183"/>
        <v>487.84748036508444</v>
      </c>
      <c r="FI163" s="59">
        <f t="shared" si="131"/>
        <v>781.18081369841775</v>
      </c>
      <c r="FJ163" s="59">
        <f ca="1">AVERAGE(OFFSET($FI$3,0,0,'Données projet'!$E$16+1,1))-AVERAGE(OFFSET($H$3,0,0,'Données projet'!$E$16+1,1))</f>
        <v>247.22536892257716</v>
      </c>
      <c r="FK163" s="59">
        <f t="shared" si="156"/>
        <v>147.97952262756075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28.864973835336937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28.864973835336937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6">
        <f t="shared" si="110"/>
        <v>465.67354271681944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249.0000000000002</v>
      </c>
      <c r="O164" s="13">
        <f>N164*VLOOKUP('Données projet'!$B$9,Paramètres!$A$1:$I$89,3,0)*VLOOKUP('Données projet'!$B$9,Paramètres!$A$1:$I$89,5,0)</f>
        <v>217.52640000000019</v>
      </c>
      <c r="P164" s="13">
        <f t="shared" si="141"/>
        <v>53.576907690651304</v>
      </c>
      <c r="Q164" s="20">
        <f t="shared" si="162"/>
        <v>472.17159422788467</v>
      </c>
      <c r="R164" s="59">
        <f t="shared" si="109"/>
        <v>765.50492756121798</v>
      </c>
      <c r="S164" s="59">
        <f ca="1">AVERAGE(OFFSET($R$3,0,0,'Données projet'!$E$9+1,1))-AVERAGE(OFFSET($H$3,0,0,'Données projet'!$E$9+1,1))</f>
        <v>253.73326067725128</v>
      </c>
      <c r="T164" s="59">
        <f t="shared" si="142"/>
        <v>317.76427047458026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10.300526318763637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10.300526318763637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732.99999999999966</v>
      </c>
      <c r="AJ164" s="13">
        <f>AI164*VLOOKUP('Données projet'!$B$10,Paramètres!$A$1:$I$89,3,0)*VLOOKUP('Données projet'!$B$10,Paramètres!$A$1:$I$89,5,0)</f>
        <v>352.57299999999987</v>
      </c>
      <c r="AK164" s="13">
        <f t="shared" si="164"/>
        <v>82.092092597941644</v>
      </c>
      <c r="AL164" s="20">
        <f t="shared" si="165"/>
        <v>757.04170294141477</v>
      </c>
      <c r="AM164" s="59">
        <f t="shared" si="113"/>
        <v>1050.375036274748</v>
      </c>
      <c r="AN164" s="59">
        <f ca="1">AVERAGE(OFFSET($AM$3,0,0,'Données projet'!$E$10+1,1))-AVERAGE(OFFSET($H$3,0,0,'Données projet'!$E$10+1,1))</f>
        <v>349.65790906807746</v>
      </c>
      <c r="AO164" s="59">
        <f t="shared" si="144"/>
        <v>291.88925884278888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25.436148316768897</v>
      </c>
      <c r="AV164" s="21">
        <f>EXP(-LN(2)/25)*AV163+(1-EXP(-LN(2)/25))/(LN(2)/25)*Calculateur!AQ164*Calculateur!AS164*VLOOKUP('Données projet'!$B$10,Paramètres!$A$1:$I$89,3,0)*0.475*44/12</f>
        <v>1.0900228160020378</v>
      </c>
      <c r="AW164" s="21">
        <f>EXP(-LN(2)/2)*AW163+(1-EXP(-LN(2)/2))/(LN(2)/2)*AQ164*AT164*VLOOKUP('Données projet'!$B$10,Paramètres!$A$1:$I$89,3,0)*0.475*44/12</f>
        <v>9.7855936142073315E-22</v>
      </c>
      <c r="AX164" s="21">
        <f t="shared" si="166"/>
        <v>26.526171132770934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319</v>
      </c>
      <c r="BE164" s="13">
        <f>BD164*VLOOKUP('Données projet'!$B$11,Paramètres!$A$1:$I$89,3,0)*VLOOKUP('Données projet'!$B$11,Paramètres!$A$1:$I$89,5,0)</f>
        <v>253.79640000000001</v>
      </c>
      <c r="BF164" s="13">
        <f t="shared" si="167"/>
        <v>61.39816832228076</v>
      </c>
      <c r="BG164" s="20">
        <f t="shared" si="168"/>
        <v>548.96387316130563</v>
      </c>
      <c r="BH164" s="59">
        <f t="shared" si="116"/>
        <v>842.29720649463889</v>
      </c>
      <c r="BI164" s="59">
        <f ca="1">AVERAGE(OFFSET($BH$3,0,0,'Données projet'!$E$11+1,1))-AVERAGE(OFFSET($H$3,0,0,'Données projet'!$E$11+1,1))</f>
        <v>279.49721661620544</v>
      </c>
      <c r="BJ164" s="59">
        <f t="shared" si="146"/>
        <v>275.18739333988754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10.690126553184813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10.690126553184813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266.99999999999983</v>
      </c>
      <c r="BZ164" s="13">
        <f>BY164*VLOOKUP('Données projet'!$B$12,Paramètres!$A$1:$I$89,3,0)*VLOOKUP('Données projet'!$B$12,Paramètres!$A$1:$I$89,5,0)</f>
        <v>258.24239999999986</v>
      </c>
      <c r="CA164" s="13">
        <f t="shared" si="170"/>
        <v>62.347580891234152</v>
      </c>
      <c r="CB164" s="20">
        <f t="shared" si="171"/>
        <v>558.3608833855659</v>
      </c>
      <c r="CC164" s="59">
        <f t="shared" si="119"/>
        <v>851.69421671889927</v>
      </c>
      <c r="CD164" s="59">
        <f ca="1">AVERAGE(OFFSET($CC$3,0,0,'Données projet'!$E$12+1,1))-AVERAGE(OFFSET($H$3,0,0,'Données projet'!$E$12+1,1))</f>
        <v>281.84871057356037</v>
      </c>
      <c r="CE164" s="59">
        <f t="shared" si="148"/>
        <v>276.02211904126887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8.6040330410711778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8.6040330410711778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319</v>
      </c>
      <c r="CU164" s="17">
        <f>CT164*VLOOKUP('Données projet'!$B$13,Paramètres!$A$1:$I$89,3,0)*VLOOKUP('Données projet'!$B$13,Paramètres!$A$1:$I$89,5,0)</f>
        <v>253.79640000000001</v>
      </c>
      <c r="CV164" s="13">
        <f t="shared" si="173"/>
        <v>61.39816832228076</v>
      </c>
      <c r="CW164" s="20">
        <f t="shared" si="174"/>
        <v>548.96387316130563</v>
      </c>
      <c r="CX164" s="59">
        <f t="shared" si="122"/>
        <v>842.29720649463889</v>
      </c>
      <c r="CY164" s="59">
        <f ca="1">AVERAGE(OFFSET($CX$3,0,0,'Données projet'!$E$13+1,1))-AVERAGE(OFFSET($H$3,0,0,'Données projet'!$E$13+1,1))</f>
        <v>279.49721661620544</v>
      </c>
      <c r="CZ164" s="59">
        <f t="shared" si="150"/>
        <v>275.18739333988754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10.690126553184813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10.690126553184813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267</v>
      </c>
      <c r="DP164" s="17">
        <f>DO164*VLOOKUP('Données projet'!$B$14,Paramètres!$A$1:$I$89,3,0)*VLOOKUP('Données projet'!$B$14,Paramètres!$A$1:$I$89,5,0)</f>
        <v>270.738</v>
      </c>
      <c r="DQ164" s="13">
        <f t="shared" si="176"/>
        <v>65.005866623551711</v>
      </c>
      <c r="DR164" s="20">
        <f t="shared" si="177"/>
        <v>584.7539010360191</v>
      </c>
      <c r="DS164" s="59">
        <f t="shared" si="125"/>
        <v>878.08723436935247</v>
      </c>
      <c r="DT164" s="59">
        <f ca="1">AVERAGE(OFFSET($DS$3,0,0,'Données projet'!$E$14+1,1))-AVERAGE(OFFSET($H$3,0,0,'Données projet'!$E$14+1,1))</f>
        <v>308.80022073574963</v>
      </c>
      <c r="DU164" s="59">
        <f t="shared" si="152"/>
        <v>183.96267407004115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34.063550088535209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34.063550088535209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266.99999999999983</v>
      </c>
      <c r="EK164" s="17">
        <f>EJ164*VLOOKUP('Données projet'!$B$15,Paramètres!$A$1:$I$89,3,0)*VLOOKUP('Données projet'!$B$15,Paramètres!$A$1:$I$89,5,0)</f>
        <v>174.93839999999989</v>
      </c>
      <c r="EL164" s="13">
        <f t="shared" si="179"/>
        <v>44.194210865203175</v>
      </c>
      <c r="EM164" s="20">
        <f t="shared" si="180"/>
        <v>381.65596392356196</v>
      </c>
      <c r="EN164" s="59">
        <f t="shared" si="128"/>
        <v>674.98929725689527</v>
      </c>
      <c r="EO164" s="59">
        <f ca="1">AVERAGE(OFFSET($EN$3,0,0,'Données projet'!$E$15+1,1))-AVERAGE(OFFSET($H$3,0,0,'Données projet'!$E$15+1,1))</f>
        <v>178.71569711875242</v>
      </c>
      <c r="EP164" s="59">
        <f t="shared" si="154"/>
        <v>178.13848582064168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5.8285385116933739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5.8285385116933739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267</v>
      </c>
      <c r="FF164" s="17">
        <f>FE164*VLOOKUP('Données projet'!$B$16,Paramètres!$A$1:$I$89,3,0)*VLOOKUP('Données projet'!$B$16,Paramètres!$A$1:$I$89,5,0)</f>
        <v>224.92080000000001</v>
      </c>
      <c r="FG164" s="13">
        <f t="shared" si="182"/>
        <v>55.1830164775604</v>
      </c>
      <c r="FH164" s="20">
        <f t="shared" si="183"/>
        <v>487.84748036508444</v>
      </c>
      <c r="FI164" s="59">
        <f t="shared" si="131"/>
        <v>781.18081369841775</v>
      </c>
      <c r="FJ164" s="59">
        <f ca="1">AVERAGE(OFFSET($FI$3,0,0,'Données projet'!$E$16+1,1))-AVERAGE(OFFSET($H$3,0,0,'Données projet'!$E$16+1,1))</f>
        <v>247.22536892257716</v>
      </c>
      <c r="FK164" s="59">
        <f t="shared" si="156"/>
        <v>147.97952262756075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28.298949304321582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28.298949304321582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6">
        <f t="shared" si="110"/>
        <v>466.71681901544298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249.0000000000002</v>
      </c>
      <c r="O165" s="13">
        <f>N165*VLOOKUP('Données projet'!$B$9,Paramètres!$A$1:$I$89,3,0)*VLOOKUP('Données projet'!$B$9,Paramètres!$A$1:$I$89,5,0)</f>
        <v>217.52640000000019</v>
      </c>
      <c r="P165" s="13">
        <f t="shared" si="141"/>
        <v>53.576907690651304</v>
      </c>
      <c r="Q165" s="20">
        <f t="shared" si="162"/>
        <v>472.17159422788467</v>
      </c>
      <c r="R165" s="59">
        <f t="shared" si="109"/>
        <v>765.50492756121798</v>
      </c>
      <c r="S165" s="59">
        <f ca="1">AVERAGE(OFFSET($R$3,0,0,'Données projet'!$E$9+1,1))-AVERAGE(OFFSET($H$3,0,0,'Données projet'!$E$9+1,1))</f>
        <v>253.73326067725128</v>
      </c>
      <c r="T165" s="59">
        <f t="shared" si="142"/>
        <v>317.76427047458026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10.098539280353371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10.098539280353371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732.99999999999966</v>
      </c>
      <c r="AJ165" s="13">
        <f>AI165*VLOOKUP('Données projet'!$B$10,Paramètres!$A$1:$I$89,3,0)*VLOOKUP('Données projet'!$B$10,Paramètres!$A$1:$I$89,5,0)</f>
        <v>352.57299999999987</v>
      </c>
      <c r="AK165" s="13">
        <f t="shared" si="164"/>
        <v>82.092092597941644</v>
      </c>
      <c r="AL165" s="20">
        <f t="shared" si="165"/>
        <v>757.04170294141477</v>
      </c>
      <c r="AM165" s="59">
        <f t="shared" si="113"/>
        <v>1050.375036274748</v>
      </c>
      <c r="AN165" s="59">
        <f ca="1">AVERAGE(OFFSET($AM$3,0,0,'Données projet'!$E$10+1,1))-AVERAGE(OFFSET($H$3,0,0,'Données projet'!$E$10+1,1))</f>
        <v>349.65790906807746</v>
      </c>
      <c r="AO165" s="59">
        <f t="shared" si="144"/>
        <v>291.88925884278888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24.937360962795601</v>
      </c>
      <c r="AV165" s="21">
        <f>EXP(-LN(2)/25)*AV164+(1-EXP(-LN(2)/25))/(LN(2)/25)*Calculateur!AQ165*Calculateur!AS165*VLOOKUP('Données projet'!$B$10,Paramètres!$A$1:$I$89,3,0)*0.475*44/12</f>
        <v>1.0602160847766535</v>
      </c>
      <c r="AW165" s="21">
        <f>EXP(-LN(2)/2)*AW164+(1-EXP(-LN(2)/2))/(LN(2)/2)*AQ165*AT165*VLOOKUP('Données projet'!$B$10,Paramètres!$A$1:$I$89,3,0)*0.475*44/12</f>
        <v>6.9194596025417803E-22</v>
      </c>
      <c r="AX165" s="21">
        <f t="shared" si="166"/>
        <v>25.997577047572253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319</v>
      </c>
      <c r="BE165" s="13">
        <f>BD165*VLOOKUP('Données projet'!$B$11,Paramètres!$A$1:$I$89,3,0)*VLOOKUP('Données projet'!$B$11,Paramètres!$A$1:$I$89,5,0)</f>
        <v>253.79640000000001</v>
      </c>
      <c r="BF165" s="13">
        <f t="shared" si="167"/>
        <v>61.39816832228076</v>
      </c>
      <c r="BG165" s="20">
        <f t="shared" si="168"/>
        <v>548.96387316130563</v>
      </c>
      <c r="BH165" s="59">
        <f t="shared" si="116"/>
        <v>842.29720649463889</v>
      </c>
      <c r="BI165" s="59">
        <f ca="1">AVERAGE(OFFSET($BH$3,0,0,'Données projet'!$E$11+1,1))-AVERAGE(OFFSET($H$3,0,0,'Données projet'!$E$11+1,1))</f>
        <v>279.49721661620544</v>
      </c>
      <c r="BJ165" s="59">
        <f t="shared" si="146"/>
        <v>275.18739333988754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10.480499691810227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10.480499691810227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266.99999999999983</v>
      </c>
      <c r="BZ165" s="13">
        <f>BY165*VLOOKUP('Données projet'!$B$12,Paramètres!$A$1:$I$89,3,0)*VLOOKUP('Données projet'!$B$12,Paramètres!$A$1:$I$89,5,0)</f>
        <v>258.24239999999986</v>
      </c>
      <c r="CA165" s="13">
        <f t="shared" si="170"/>
        <v>62.347580891234152</v>
      </c>
      <c r="CB165" s="20">
        <f t="shared" si="171"/>
        <v>558.3608833855659</v>
      </c>
      <c r="CC165" s="59">
        <f t="shared" si="119"/>
        <v>851.69421671889927</v>
      </c>
      <c r="CD165" s="59">
        <f ca="1">AVERAGE(OFFSET($CC$3,0,0,'Données projet'!$E$12+1,1))-AVERAGE(OFFSET($H$3,0,0,'Données projet'!$E$12+1,1))</f>
        <v>281.84871057356037</v>
      </c>
      <c r="CE165" s="59">
        <f t="shared" si="148"/>
        <v>276.02211904126887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8.4353132010777365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8.4353132010777365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319</v>
      </c>
      <c r="CU165" s="17">
        <f>CT165*VLOOKUP('Données projet'!$B$13,Paramètres!$A$1:$I$89,3,0)*VLOOKUP('Données projet'!$B$13,Paramètres!$A$1:$I$89,5,0)</f>
        <v>253.79640000000001</v>
      </c>
      <c r="CV165" s="13">
        <f t="shared" si="173"/>
        <v>61.39816832228076</v>
      </c>
      <c r="CW165" s="20">
        <f t="shared" si="174"/>
        <v>548.96387316130563</v>
      </c>
      <c r="CX165" s="59">
        <f t="shared" si="122"/>
        <v>842.29720649463889</v>
      </c>
      <c r="CY165" s="59">
        <f ca="1">AVERAGE(OFFSET($CX$3,0,0,'Données projet'!$E$13+1,1))-AVERAGE(OFFSET($H$3,0,0,'Données projet'!$E$13+1,1))</f>
        <v>279.49721661620544</v>
      </c>
      <c r="CZ165" s="59">
        <f t="shared" si="150"/>
        <v>275.18739333988754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10.480499691810227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10.480499691810227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267</v>
      </c>
      <c r="DP165" s="17">
        <f>DO165*VLOOKUP('Données projet'!$B$14,Paramètres!$A$1:$I$89,3,0)*VLOOKUP('Données projet'!$B$14,Paramètres!$A$1:$I$89,5,0)</f>
        <v>270.738</v>
      </c>
      <c r="DQ165" s="13">
        <f t="shared" si="176"/>
        <v>65.005866623551711</v>
      </c>
      <c r="DR165" s="20">
        <f t="shared" si="177"/>
        <v>584.7539010360191</v>
      </c>
      <c r="DS165" s="59">
        <f t="shared" si="125"/>
        <v>878.08723436935247</v>
      </c>
      <c r="DT165" s="59">
        <f ca="1">AVERAGE(OFFSET($DS$3,0,0,'Données projet'!$E$14+1,1))-AVERAGE(OFFSET($H$3,0,0,'Données projet'!$E$14+1,1))</f>
        <v>308.80022073574963</v>
      </c>
      <c r="DU165" s="59">
        <f t="shared" si="152"/>
        <v>183.96267407004115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33.395584648013056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33.395584648013056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266.99999999999983</v>
      </c>
      <c r="EK165" s="17">
        <f>EJ165*VLOOKUP('Données projet'!$B$15,Paramètres!$A$1:$I$89,3,0)*VLOOKUP('Données projet'!$B$15,Paramètres!$A$1:$I$89,5,0)</f>
        <v>174.93839999999989</v>
      </c>
      <c r="EL165" s="13">
        <f t="shared" si="179"/>
        <v>44.194210865203175</v>
      </c>
      <c r="EM165" s="20">
        <f t="shared" si="180"/>
        <v>381.65596392356196</v>
      </c>
      <c r="EN165" s="59">
        <f t="shared" si="128"/>
        <v>674.98929725689527</v>
      </c>
      <c r="EO165" s="59">
        <f ca="1">AVERAGE(OFFSET($EN$3,0,0,'Données projet'!$E$15+1,1))-AVERAGE(OFFSET($H$3,0,0,'Données projet'!$E$15+1,1))</f>
        <v>178.71569711875242</v>
      </c>
      <c r="EP165" s="59">
        <f t="shared" si="154"/>
        <v>178.13848582064168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5.714244426536526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5.714244426536526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267</v>
      </c>
      <c r="FF165" s="17">
        <f>FE165*VLOOKUP('Données projet'!$B$16,Paramètres!$A$1:$I$89,3,0)*VLOOKUP('Données projet'!$B$16,Paramètres!$A$1:$I$89,5,0)</f>
        <v>224.92080000000001</v>
      </c>
      <c r="FG165" s="13">
        <f t="shared" si="182"/>
        <v>55.1830164775604</v>
      </c>
      <c r="FH165" s="20">
        <f t="shared" si="183"/>
        <v>487.84748036508444</v>
      </c>
      <c r="FI165" s="59">
        <f t="shared" si="131"/>
        <v>781.18081369841775</v>
      </c>
      <c r="FJ165" s="59">
        <f ca="1">AVERAGE(OFFSET($FI$3,0,0,'Données projet'!$E$16+1,1))-AVERAGE(OFFSET($H$3,0,0,'Données projet'!$E$16+1,1))</f>
        <v>247.22536892257716</v>
      </c>
      <c r="FK165" s="59">
        <f t="shared" si="156"/>
        <v>147.97952262756075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27.744024169118564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27.744024169118564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6">
        <f t="shared" si="110"/>
        <v>467.75994768567836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249.0000000000002</v>
      </c>
      <c r="O166" s="13">
        <f>N166*VLOOKUP('Données projet'!$B$9,Paramètres!$A$1:$I$89,3,0)*VLOOKUP('Données projet'!$B$9,Paramètres!$A$1:$I$89,5,0)</f>
        <v>217.52640000000019</v>
      </c>
      <c r="P166" s="13">
        <f t="shared" si="141"/>
        <v>53.576907690651304</v>
      </c>
      <c r="Q166" s="20">
        <f t="shared" si="162"/>
        <v>472.17159422788467</v>
      </c>
      <c r="R166" s="59">
        <f t="shared" si="109"/>
        <v>765.50492756121798</v>
      </c>
      <c r="S166" s="59">
        <f ca="1">AVERAGE(OFFSET($R$3,0,0,'Données projet'!$E$9+1,1))-AVERAGE(OFFSET($H$3,0,0,'Données projet'!$E$9+1,1))</f>
        <v>253.73326067725128</v>
      </c>
      <c r="T166" s="59">
        <f t="shared" si="142"/>
        <v>317.76427047458026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9.900513084566402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9.900513084566402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732.99999999999966</v>
      </c>
      <c r="AJ166" s="13">
        <f>AI166*VLOOKUP('Données projet'!$B$10,Paramètres!$A$1:$I$89,3,0)*VLOOKUP('Données projet'!$B$10,Paramètres!$A$1:$I$89,5,0)</f>
        <v>352.57299999999987</v>
      </c>
      <c r="AK166" s="13">
        <f t="shared" si="164"/>
        <v>82.092092597941644</v>
      </c>
      <c r="AL166" s="20">
        <f t="shared" si="165"/>
        <v>757.04170294141477</v>
      </c>
      <c r="AM166" s="59">
        <f t="shared" si="113"/>
        <v>1050.375036274748</v>
      </c>
      <c r="AN166" s="59">
        <f ca="1">AVERAGE(OFFSET($AM$3,0,0,'Données projet'!$E$10+1,1))-AVERAGE(OFFSET($H$3,0,0,'Données projet'!$E$10+1,1))</f>
        <v>349.65790906807746</v>
      </c>
      <c r="AO166" s="59">
        <f t="shared" si="144"/>
        <v>291.88925884278888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24.448354524603477</v>
      </c>
      <c r="AV166" s="21">
        <f>EXP(-LN(2)/25)*AV165+(1-EXP(-LN(2)/25))/(LN(2)/25)*Calculateur!AQ166*Calculateur!AS166*VLOOKUP('Données projet'!$B$10,Paramètres!$A$1:$I$89,3,0)*0.475*44/12</f>
        <v>1.0312244201840952</v>
      </c>
      <c r="AW166" s="21">
        <f>EXP(-LN(2)/2)*AW165+(1-EXP(-LN(2)/2))/(LN(2)/2)*AQ166*AT166*VLOOKUP('Données projet'!$B$10,Paramètres!$A$1:$I$89,3,0)*0.475*44/12</f>
        <v>4.8927968071036657E-22</v>
      </c>
      <c r="AX166" s="21">
        <f t="shared" si="166"/>
        <v>25.479578944787573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319</v>
      </c>
      <c r="BE166" s="13">
        <f>BD166*VLOOKUP('Données projet'!$B$11,Paramètres!$A$1:$I$89,3,0)*VLOOKUP('Données projet'!$B$11,Paramètres!$A$1:$I$89,5,0)</f>
        <v>253.79640000000001</v>
      </c>
      <c r="BF166" s="13">
        <f t="shared" si="167"/>
        <v>61.39816832228076</v>
      </c>
      <c r="BG166" s="20">
        <f t="shared" si="168"/>
        <v>548.96387316130563</v>
      </c>
      <c r="BH166" s="59">
        <f t="shared" si="116"/>
        <v>842.29720649463889</v>
      </c>
      <c r="BI166" s="59">
        <f ca="1">AVERAGE(OFFSET($BH$3,0,0,'Données projet'!$E$11+1,1))-AVERAGE(OFFSET($H$3,0,0,'Données projet'!$E$11+1,1))</f>
        <v>279.49721661620544</v>
      </c>
      <c r="BJ166" s="59">
        <f t="shared" si="146"/>
        <v>275.18739333988754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10.274983485327436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10.274983485327436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266.99999999999983</v>
      </c>
      <c r="BZ166" s="13">
        <f>BY166*VLOOKUP('Données projet'!$B$12,Paramètres!$A$1:$I$89,3,0)*VLOOKUP('Données projet'!$B$12,Paramètres!$A$1:$I$89,5,0)</f>
        <v>258.24239999999986</v>
      </c>
      <c r="CA166" s="13">
        <f t="shared" si="170"/>
        <v>62.347580891234152</v>
      </c>
      <c r="CB166" s="20">
        <f t="shared" si="171"/>
        <v>558.3608833855659</v>
      </c>
      <c r="CC166" s="59">
        <f t="shared" si="119"/>
        <v>851.69421671889927</v>
      </c>
      <c r="CD166" s="59">
        <f ca="1">AVERAGE(OFFSET($CC$3,0,0,'Données projet'!$E$12+1,1))-AVERAGE(OFFSET($H$3,0,0,'Données projet'!$E$12+1,1))</f>
        <v>281.84871057356037</v>
      </c>
      <c r="CE166" s="59">
        <f t="shared" si="148"/>
        <v>276.02211904126887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8.2699018542376255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8.2699018542376255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319</v>
      </c>
      <c r="CU166" s="17">
        <f>CT166*VLOOKUP('Données projet'!$B$13,Paramètres!$A$1:$I$89,3,0)*VLOOKUP('Données projet'!$B$13,Paramètres!$A$1:$I$89,5,0)</f>
        <v>253.79640000000001</v>
      </c>
      <c r="CV166" s="13">
        <f t="shared" si="173"/>
        <v>61.39816832228076</v>
      </c>
      <c r="CW166" s="20">
        <f t="shared" si="174"/>
        <v>548.96387316130563</v>
      </c>
      <c r="CX166" s="59">
        <f t="shared" si="122"/>
        <v>842.29720649463889</v>
      </c>
      <c r="CY166" s="59">
        <f ca="1">AVERAGE(OFFSET($CX$3,0,0,'Données projet'!$E$13+1,1))-AVERAGE(OFFSET($H$3,0,0,'Données projet'!$E$13+1,1))</f>
        <v>279.49721661620544</v>
      </c>
      <c r="CZ166" s="59">
        <f t="shared" si="150"/>
        <v>275.18739333988754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10.274983485327436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10.274983485327436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267</v>
      </c>
      <c r="DP166" s="17">
        <f>DO166*VLOOKUP('Données projet'!$B$14,Paramètres!$A$1:$I$89,3,0)*VLOOKUP('Données projet'!$B$14,Paramètres!$A$1:$I$89,5,0)</f>
        <v>270.738</v>
      </c>
      <c r="DQ166" s="13">
        <f t="shared" si="176"/>
        <v>65.005866623551711</v>
      </c>
      <c r="DR166" s="20">
        <f t="shared" si="177"/>
        <v>584.7539010360191</v>
      </c>
      <c r="DS166" s="59">
        <f t="shared" si="125"/>
        <v>878.08723436935247</v>
      </c>
      <c r="DT166" s="59">
        <f ca="1">AVERAGE(OFFSET($DS$3,0,0,'Données projet'!$E$14+1,1))-AVERAGE(OFFSET($H$3,0,0,'Données projet'!$E$14+1,1))</f>
        <v>308.80022073574963</v>
      </c>
      <c r="DU166" s="59">
        <f t="shared" si="152"/>
        <v>183.96267407004115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32.740717602360853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32.740717602360853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266.99999999999983</v>
      </c>
      <c r="EK166" s="17">
        <f>EJ166*VLOOKUP('Données projet'!$B$15,Paramètres!$A$1:$I$89,3,0)*VLOOKUP('Données projet'!$B$15,Paramètres!$A$1:$I$89,5,0)</f>
        <v>174.93839999999989</v>
      </c>
      <c r="EL166" s="13">
        <f t="shared" si="179"/>
        <v>44.194210865203175</v>
      </c>
      <c r="EM166" s="20">
        <f t="shared" si="180"/>
        <v>381.65596392356196</v>
      </c>
      <c r="EN166" s="59">
        <f t="shared" si="128"/>
        <v>674.98929725689527</v>
      </c>
      <c r="EO166" s="59">
        <f ca="1">AVERAGE(OFFSET($EN$3,0,0,'Données projet'!$E$15+1,1))-AVERAGE(OFFSET($H$3,0,0,'Données projet'!$E$15+1,1))</f>
        <v>178.71569711875242</v>
      </c>
      <c r="EP166" s="59">
        <f t="shared" si="154"/>
        <v>178.13848582064168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5.6021915786770959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5.6021915786770959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267</v>
      </c>
      <c r="FF166" s="17">
        <f>FE166*VLOOKUP('Données projet'!$B$16,Paramètres!$A$1:$I$89,3,0)*VLOOKUP('Données projet'!$B$16,Paramètres!$A$1:$I$89,5,0)</f>
        <v>224.92080000000001</v>
      </c>
      <c r="FG166" s="13">
        <f t="shared" si="182"/>
        <v>55.1830164775604</v>
      </c>
      <c r="FH166" s="20">
        <f t="shared" si="183"/>
        <v>487.84748036508444</v>
      </c>
      <c r="FI166" s="59">
        <f t="shared" si="131"/>
        <v>781.18081369841775</v>
      </c>
      <c r="FJ166" s="59">
        <f ca="1">AVERAGE(OFFSET($FI$3,0,0,'Données projet'!$E$16+1,1))-AVERAGE(OFFSET($H$3,0,0,'Données projet'!$E$16+1,1))</f>
        <v>247.22536892257716</v>
      </c>
      <c r="FK166" s="59">
        <f t="shared" si="156"/>
        <v>147.97952262756075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27.199980777345964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27.199980777345964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6">
        <f t="shared" si="110"/>
        <v>468.80292973829592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249.0000000000002</v>
      </c>
      <c r="O167" s="13">
        <f>N167*VLOOKUP('Données projet'!$B$9,Paramètres!$A$1:$I$89,3,0)*VLOOKUP('Données projet'!$B$9,Paramètres!$A$1:$I$89,5,0)</f>
        <v>217.52640000000019</v>
      </c>
      <c r="P167" s="13">
        <f t="shared" si="141"/>
        <v>53.576907690651304</v>
      </c>
      <c r="Q167" s="20">
        <f t="shared" si="162"/>
        <v>472.17159422788467</v>
      </c>
      <c r="R167" s="59">
        <f t="shared" si="109"/>
        <v>765.50492756121798</v>
      </c>
      <c r="S167" s="59">
        <f ca="1">AVERAGE(OFFSET($R$3,0,0,'Données projet'!$E$9+1,1))-AVERAGE(OFFSET($H$3,0,0,'Données projet'!$E$9+1,1))</f>
        <v>253.73326067725128</v>
      </c>
      <c r="T167" s="59">
        <f t="shared" si="142"/>
        <v>317.76427047458026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9.7063700616947628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9.7063700616947628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732.99999999999966</v>
      </c>
      <c r="AJ167" s="13">
        <f>AI167*VLOOKUP('Données projet'!$B$10,Paramètres!$A$1:$I$89,3,0)*VLOOKUP('Données projet'!$B$10,Paramètres!$A$1:$I$89,5,0)</f>
        <v>352.57299999999987</v>
      </c>
      <c r="AK167" s="13">
        <f t="shared" si="164"/>
        <v>82.092092597941644</v>
      </c>
      <c r="AL167" s="20">
        <f t="shared" si="165"/>
        <v>757.04170294141477</v>
      </c>
      <c r="AM167" s="59">
        <f t="shared" si="113"/>
        <v>1050.375036274748</v>
      </c>
      <c r="AN167" s="59">
        <f ca="1">AVERAGE(OFFSET($AM$3,0,0,'Données projet'!$E$10+1,1))-AVERAGE(OFFSET($H$3,0,0,'Données projet'!$E$10+1,1))</f>
        <v>349.65790906807746</v>
      </c>
      <c r="AO167" s="59">
        <f t="shared" si="144"/>
        <v>291.88925884278888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23.968937204399822</v>
      </c>
      <c r="AV167" s="21">
        <f>EXP(-LN(2)/25)*AV166+(1-EXP(-LN(2)/25))/(LN(2)/25)*Calculateur!AQ167*Calculateur!AS167*VLOOKUP('Données projet'!$B$10,Paramètres!$A$1:$I$89,3,0)*0.475*44/12</f>
        <v>1.0030255341844259</v>
      </c>
      <c r="AW167" s="21">
        <f>EXP(-LN(2)/2)*AW166+(1-EXP(-LN(2)/2))/(LN(2)/2)*AQ167*AT167*VLOOKUP('Données projet'!$B$10,Paramètres!$A$1:$I$89,3,0)*0.475*44/12</f>
        <v>3.4597298012708902E-22</v>
      </c>
      <c r="AX167" s="21">
        <f t="shared" si="166"/>
        <v>24.971962738584249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319</v>
      </c>
      <c r="BE167" s="13">
        <f>BD167*VLOOKUP('Données projet'!$B$11,Paramètres!$A$1:$I$89,3,0)*VLOOKUP('Données projet'!$B$11,Paramètres!$A$1:$I$89,5,0)</f>
        <v>253.79640000000001</v>
      </c>
      <c r="BF167" s="13">
        <f t="shared" si="167"/>
        <v>61.39816832228076</v>
      </c>
      <c r="BG167" s="20">
        <f t="shared" si="168"/>
        <v>548.96387316130563</v>
      </c>
      <c r="BH167" s="59">
        <f t="shared" si="116"/>
        <v>842.29720649463889</v>
      </c>
      <c r="BI167" s="59">
        <f ca="1">AVERAGE(OFFSET($BH$3,0,0,'Données projet'!$E$11+1,1))-AVERAGE(OFFSET($H$3,0,0,'Données projet'!$E$11+1,1))</f>
        <v>279.49721661620544</v>
      </c>
      <c r="BJ167" s="59">
        <f t="shared" si="146"/>
        <v>275.18739333988754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10.073497326301265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10.073497326301265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266.99999999999983</v>
      </c>
      <c r="BZ167" s="13">
        <f>BY167*VLOOKUP('Données projet'!$B$12,Paramètres!$A$1:$I$89,3,0)*VLOOKUP('Données projet'!$B$12,Paramètres!$A$1:$I$89,5,0)</f>
        <v>258.24239999999986</v>
      </c>
      <c r="CA167" s="13">
        <f t="shared" si="170"/>
        <v>62.347580891234152</v>
      </c>
      <c r="CB167" s="20">
        <f t="shared" si="171"/>
        <v>558.3608833855659</v>
      </c>
      <c r="CC167" s="59">
        <f t="shared" si="119"/>
        <v>851.69421671889927</v>
      </c>
      <c r="CD167" s="59">
        <f ca="1">AVERAGE(OFFSET($CC$3,0,0,'Données projet'!$E$12+1,1))-AVERAGE(OFFSET($H$3,0,0,'Données projet'!$E$12+1,1))</f>
        <v>281.84871057356037</v>
      </c>
      <c r="CE167" s="59">
        <f t="shared" si="148"/>
        <v>276.02211904126887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8.1077341230180888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8.1077341230180888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319</v>
      </c>
      <c r="CU167" s="17">
        <f>CT167*VLOOKUP('Données projet'!$B$13,Paramètres!$A$1:$I$89,3,0)*VLOOKUP('Données projet'!$B$13,Paramètres!$A$1:$I$89,5,0)</f>
        <v>253.79640000000001</v>
      </c>
      <c r="CV167" s="13">
        <f t="shared" si="173"/>
        <v>61.39816832228076</v>
      </c>
      <c r="CW167" s="20">
        <f t="shared" si="174"/>
        <v>548.96387316130563</v>
      </c>
      <c r="CX167" s="59">
        <f t="shared" si="122"/>
        <v>842.29720649463889</v>
      </c>
      <c r="CY167" s="59">
        <f ca="1">AVERAGE(OFFSET($CX$3,0,0,'Données projet'!$E$13+1,1))-AVERAGE(OFFSET($H$3,0,0,'Données projet'!$E$13+1,1))</f>
        <v>279.49721661620544</v>
      </c>
      <c r="CZ167" s="59">
        <f t="shared" si="150"/>
        <v>275.18739333988754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10.073497326301265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10.073497326301265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267</v>
      </c>
      <c r="DP167" s="17">
        <f>DO167*VLOOKUP('Données projet'!$B$14,Paramètres!$A$1:$I$89,3,0)*VLOOKUP('Données projet'!$B$14,Paramètres!$A$1:$I$89,5,0)</f>
        <v>270.738</v>
      </c>
      <c r="DQ167" s="13">
        <f t="shared" si="176"/>
        <v>65.005866623551711</v>
      </c>
      <c r="DR167" s="20">
        <f t="shared" si="177"/>
        <v>584.7539010360191</v>
      </c>
      <c r="DS167" s="59">
        <f t="shared" si="125"/>
        <v>878.08723436935247</v>
      </c>
      <c r="DT167" s="59">
        <f ca="1">AVERAGE(OFFSET($DS$3,0,0,'Données projet'!$E$14+1,1))-AVERAGE(OFFSET($H$3,0,0,'Données projet'!$E$14+1,1))</f>
        <v>308.80022073574963</v>
      </c>
      <c r="DU167" s="59">
        <f t="shared" si="152"/>
        <v>183.96267407004115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32.098692100044431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32.098692100044431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266.99999999999983</v>
      </c>
      <c r="EK167" s="17">
        <f>EJ167*VLOOKUP('Données projet'!$B$15,Paramètres!$A$1:$I$89,3,0)*VLOOKUP('Données projet'!$B$15,Paramètres!$A$1:$I$89,5,0)</f>
        <v>174.93839999999989</v>
      </c>
      <c r="EL167" s="13">
        <f t="shared" si="179"/>
        <v>44.194210865203175</v>
      </c>
      <c r="EM167" s="20">
        <f t="shared" si="180"/>
        <v>381.65596392356196</v>
      </c>
      <c r="EN167" s="59">
        <f t="shared" si="128"/>
        <v>674.98929725689527</v>
      </c>
      <c r="EO167" s="59">
        <f ca="1">AVERAGE(OFFSET($EN$3,0,0,'Données projet'!$E$15+1,1))-AVERAGE(OFFSET($H$3,0,0,'Données projet'!$E$15+1,1))</f>
        <v>178.71569711875242</v>
      </c>
      <c r="EP167" s="59">
        <f t="shared" si="154"/>
        <v>178.13848582064168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5.4923360188187003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5.4923360188187003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267</v>
      </c>
      <c r="FF167" s="17">
        <f>FE167*VLOOKUP('Données projet'!$B$16,Paramètres!$A$1:$I$89,3,0)*VLOOKUP('Données projet'!$B$16,Paramètres!$A$1:$I$89,5,0)</f>
        <v>224.92080000000001</v>
      </c>
      <c r="FG167" s="13">
        <f t="shared" si="182"/>
        <v>55.1830164775604</v>
      </c>
      <c r="FH167" s="20">
        <f t="shared" si="183"/>
        <v>487.84748036508444</v>
      </c>
      <c r="FI167" s="59">
        <f t="shared" si="131"/>
        <v>781.18081369841775</v>
      </c>
      <c r="FJ167" s="59">
        <f ca="1">AVERAGE(OFFSET($FI$3,0,0,'Données projet'!$E$16+1,1))-AVERAGE(OFFSET($H$3,0,0,'Données projet'!$E$16+1,1))</f>
        <v>247.22536892257716</v>
      </c>
      <c r="FK167" s="59">
        <f t="shared" si="156"/>
        <v>147.97952262756075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26.666605744652323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26.666605744652323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6">
        <f t="shared" si="110"/>
        <v>469.8457661710267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249.0000000000002</v>
      </c>
      <c r="O168" s="13">
        <f>N168*VLOOKUP('Données projet'!$B$9,Paramètres!$A$1:$I$89,3,0)*VLOOKUP('Données projet'!$B$9,Paramètres!$A$1:$I$89,5,0)</f>
        <v>217.52640000000019</v>
      </c>
      <c r="P168" s="13">
        <f t="shared" si="141"/>
        <v>53.576907690651304</v>
      </c>
      <c r="Q168" s="20">
        <f t="shared" si="162"/>
        <v>472.17159422788467</v>
      </c>
      <c r="R168" s="59">
        <f t="shared" si="109"/>
        <v>765.50492756121798</v>
      </c>
      <c r="S168" s="59">
        <f ca="1">AVERAGE(OFFSET($R$3,0,0,'Données projet'!$E$9+1,1))-AVERAGE(OFFSET($H$3,0,0,'Données projet'!$E$9+1,1))</f>
        <v>253.73326067725128</v>
      </c>
      <c r="T168" s="59">
        <f t="shared" si="142"/>
        <v>317.76427047458026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9.5160340650860853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9.5160340650860853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732.99999999999966</v>
      </c>
      <c r="AJ168" s="13">
        <f>AI168*VLOOKUP('Données projet'!$B$10,Paramètres!$A$1:$I$89,3,0)*VLOOKUP('Données projet'!$B$10,Paramètres!$A$1:$I$89,5,0)</f>
        <v>352.57299999999987</v>
      </c>
      <c r="AK168" s="13">
        <f t="shared" si="164"/>
        <v>82.092092597941644</v>
      </c>
      <c r="AL168" s="20">
        <f t="shared" si="165"/>
        <v>757.04170294141477</v>
      </c>
      <c r="AM168" s="59">
        <f t="shared" si="113"/>
        <v>1050.375036274748</v>
      </c>
      <c r="AN168" s="59">
        <f ca="1">AVERAGE(OFFSET($AM$3,0,0,'Données projet'!$E$10+1,1))-AVERAGE(OFFSET($H$3,0,0,'Données projet'!$E$10+1,1))</f>
        <v>349.65790906807746</v>
      </c>
      <c r="AO168" s="59">
        <f t="shared" si="144"/>
        <v>291.88925884278888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23.498920965429669</v>
      </c>
      <c r="AV168" s="21">
        <f>EXP(-LN(2)/25)*AV167+(1-EXP(-LN(2)/25))/(LN(2)/25)*Calculateur!AQ168*Calculateur!AS168*VLOOKUP('Données projet'!$B$10,Paramètres!$A$1:$I$89,3,0)*0.475*44/12</f>
        <v>0.97559774820533229</v>
      </c>
      <c r="AW168" s="21">
        <f>EXP(-LN(2)/2)*AW167+(1-EXP(-LN(2)/2))/(LN(2)/2)*AQ168*AT168*VLOOKUP('Données projet'!$B$10,Paramètres!$A$1:$I$89,3,0)*0.475*44/12</f>
        <v>2.4463984035518329E-22</v>
      </c>
      <c r="AX168" s="21">
        <f t="shared" si="166"/>
        <v>24.474518713635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319</v>
      </c>
      <c r="BE168" s="13">
        <f>BD168*VLOOKUP('Données projet'!$B$11,Paramètres!$A$1:$I$89,3,0)*VLOOKUP('Données projet'!$B$11,Paramètres!$A$1:$I$89,5,0)</f>
        <v>253.79640000000001</v>
      </c>
      <c r="BF168" s="13">
        <f t="shared" si="167"/>
        <v>61.39816832228076</v>
      </c>
      <c r="BG168" s="20">
        <f t="shared" si="168"/>
        <v>548.96387316130563</v>
      </c>
      <c r="BH168" s="59">
        <f t="shared" si="116"/>
        <v>842.29720649463889</v>
      </c>
      <c r="BI168" s="59">
        <f ca="1">AVERAGE(OFFSET($BH$3,0,0,'Données projet'!$E$11+1,1))-AVERAGE(OFFSET($H$3,0,0,'Données projet'!$E$11+1,1))</f>
        <v>279.49721661620544</v>
      </c>
      <c r="BJ168" s="59">
        <f t="shared" si="146"/>
        <v>275.18739333988754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9.8759621879591748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9.8759621879591748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266.99999999999983</v>
      </c>
      <c r="BZ168" s="13">
        <f>BY168*VLOOKUP('Données projet'!$B$12,Paramètres!$A$1:$I$89,3,0)*VLOOKUP('Données projet'!$B$12,Paramètres!$A$1:$I$89,5,0)</f>
        <v>258.24239999999986</v>
      </c>
      <c r="CA168" s="13">
        <f t="shared" si="170"/>
        <v>62.347580891234152</v>
      </c>
      <c r="CB168" s="20">
        <f t="shared" si="171"/>
        <v>558.3608833855659</v>
      </c>
      <c r="CC168" s="59">
        <f t="shared" si="119"/>
        <v>851.69421671889927</v>
      </c>
      <c r="CD168" s="59">
        <f ca="1">AVERAGE(OFFSET($CC$3,0,0,'Données projet'!$E$12+1,1))-AVERAGE(OFFSET($H$3,0,0,'Données projet'!$E$12+1,1))</f>
        <v>281.84871057356037</v>
      </c>
      <c r="CE168" s="59">
        <f t="shared" si="148"/>
        <v>276.02211904126887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7.9487464020952183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7.9487464020952183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319</v>
      </c>
      <c r="CU168" s="17">
        <f>CT168*VLOOKUP('Données projet'!$B$13,Paramètres!$A$1:$I$89,3,0)*VLOOKUP('Données projet'!$B$13,Paramètres!$A$1:$I$89,5,0)</f>
        <v>253.79640000000001</v>
      </c>
      <c r="CV168" s="13">
        <f t="shared" si="173"/>
        <v>61.39816832228076</v>
      </c>
      <c r="CW168" s="20">
        <f t="shared" si="174"/>
        <v>548.96387316130563</v>
      </c>
      <c r="CX168" s="59">
        <f t="shared" si="122"/>
        <v>842.29720649463889</v>
      </c>
      <c r="CY168" s="59">
        <f ca="1">AVERAGE(OFFSET($CX$3,0,0,'Données projet'!$E$13+1,1))-AVERAGE(OFFSET($H$3,0,0,'Données projet'!$E$13+1,1))</f>
        <v>279.49721661620544</v>
      </c>
      <c r="CZ168" s="59">
        <f t="shared" si="150"/>
        <v>275.18739333988754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9.8759621879591748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9.8759621879591748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267</v>
      </c>
      <c r="DP168" s="17">
        <f>DO168*VLOOKUP('Données projet'!$B$14,Paramètres!$A$1:$I$89,3,0)*VLOOKUP('Données projet'!$B$14,Paramètres!$A$1:$I$89,5,0)</f>
        <v>270.738</v>
      </c>
      <c r="DQ168" s="13">
        <f t="shared" si="176"/>
        <v>65.005866623551711</v>
      </c>
      <c r="DR168" s="20">
        <f t="shared" si="177"/>
        <v>584.7539010360191</v>
      </c>
      <c r="DS168" s="59">
        <f t="shared" si="125"/>
        <v>878.08723436935247</v>
      </c>
      <c r="DT168" s="59">
        <f ca="1">AVERAGE(OFFSET($DS$3,0,0,'Données projet'!$E$14+1,1))-AVERAGE(OFFSET($H$3,0,0,'Données projet'!$E$14+1,1))</f>
        <v>308.80022073574963</v>
      </c>
      <c r="DU168" s="59">
        <f t="shared" si="152"/>
        <v>183.96267407004115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31.469256326231548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31.469256326231548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266.99999999999983</v>
      </c>
      <c r="EK168" s="17">
        <f>EJ168*VLOOKUP('Données projet'!$B$15,Paramètres!$A$1:$I$89,3,0)*VLOOKUP('Données projet'!$B$15,Paramètres!$A$1:$I$89,5,0)</f>
        <v>174.93839999999989</v>
      </c>
      <c r="EL168" s="13">
        <f t="shared" si="179"/>
        <v>44.194210865203175</v>
      </c>
      <c r="EM168" s="20">
        <f t="shared" si="180"/>
        <v>381.65596392356196</v>
      </c>
      <c r="EN168" s="59">
        <f t="shared" si="128"/>
        <v>674.98929725689527</v>
      </c>
      <c r="EO168" s="59">
        <f ca="1">AVERAGE(OFFSET($EN$3,0,0,'Données projet'!$E$15+1,1))-AVERAGE(OFFSET($H$3,0,0,'Données projet'!$E$15+1,1))</f>
        <v>178.71569711875242</v>
      </c>
      <c r="EP168" s="59">
        <f t="shared" si="154"/>
        <v>178.13848582064168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5.3846346594838526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5.3846346594838526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267</v>
      </c>
      <c r="FF168" s="17">
        <f>FE168*VLOOKUP('Données projet'!$B$16,Paramètres!$A$1:$I$89,3,0)*VLOOKUP('Données projet'!$B$16,Paramètres!$A$1:$I$89,5,0)</f>
        <v>224.92080000000001</v>
      </c>
      <c r="FG168" s="13">
        <f t="shared" si="182"/>
        <v>55.1830164775604</v>
      </c>
      <c r="FH168" s="20">
        <f t="shared" si="183"/>
        <v>487.84748036508444</v>
      </c>
      <c r="FI168" s="59">
        <f t="shared" si="131"/>
        <v>781.18081369841775</v>
      </c>
      <c r="FJ168" s="59">
        <f ca="1">AVERAGE(OFFSET($FI$3,0,0,'Données projet'!$E$16+1,1))-AVERAGE(OFFSET($H$3,0,0,'Données projet'!$E$16+1,1))</f>
        <v>247.22536892257716</v>
      </c>
      <c r="FK168" s="59">
        <f t="shared" si="156"/>
        <v>147.97952262756075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26.143689871023156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26.143689871023156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6">
        <f t="shared" si="110"/>
        <v>470.88845796880821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249.0000000000002</v>
      </c>
      <c r="O169" s="13">
        <f>N169*VLOOKUP('Données projet'!$B$9,Paramètres!$A$1:$I$89,3,0)*VLOOKUP('Données projet'!$B$9,Paramètres!$A$1:$I$89,5,0)</f>
        <v>217.52640000000019</v>
      </c>
      <c r="P169" s="13">
        <f t="shared" si="141"/>
        <v>53.576907690651304</v>
      </c>
      <c r="Q169" s="20">
        <f t="shared" si="162"/>
        <v>472.17159422788467</v>
      </c>
      <c r="R169" s="59">
        <f t="shared" si="109"/>
        <v>765.50492756121798</v>
      </c>
      <c r="S169" s="59">
        <f ca="1">AVERAGE(OFFSET($R$3,0,0,'Données projet'!$E$9+1,1))-AVERAGE(OFFSET($H$3,0,0,'Données projet'!$E$9+1,1))</f>
        <v>253.73326067725128</v>
      </c>
      <c r="T169" s="59">
        <f t="shared" si="142"/>
        <v>317.76427047458026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9.3294304412774096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9.3294304412774096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732.99999999999966</v>
      </c>
      <c r="AJ169" s="13">
        <f>AI169*VLOOKUP('Données projet'!$B$10,Paramètres!$A$1:$I$89,3,0)*VLOOKUP('Données projet'!$B$10,Paramètres!$A$1:$I$89,5,0)</f>
        <v>352.57299999999987</v>
      </c>
      <c r="AK169" s="13">
        <f t="shared" si="164"/>
        <v>82.092092597941644</v>
      </c>
      <c r="AL169" s="20">
        <f t="shared" si="165"/>
        <v>757.04170294141477</v>
      </c>
      <c r="AM169" s="59">
        <f t="shared" si="113"/>
        <v>1050.375036274748</v>
      </c>
      <c r="AN169" s="59">
        <f ca="1">AVERAGE(OFFSET($AM$3,0,0,'Données projet'!$E$10+1,1))-AVERAGE(OFFSET($H$3,0,0,'Données projet'!$E$10+1,1))</f>
        <v>349.65790906807746</v>
      </c>
      <c r="AO169" s="59">
        <f t="shared" si="144"/>
        <v>291.88925884278888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23.038121458224122</v>
      </c>
      <c r="AV169" s="21">
        <f>EXP(-LN(2)/25)*AV168+(1-EXP(-LN(2)/25))/(LN(2)/25)*Calculateur!AQ169*Calculateur!AS169*VLOOKUP('Données projet'!$B$10,Paramètres!$A$1:$I$89,3,0)*0.475*44/12</f>
        <v>0.94891997647620163</v>
      </c>
      <c r="AW169" s="21">
        <f>EXP(-LN(2)/2)*AW168+(1-EXP(-LN(2)/2))/(LN(2)/2)*AQ169*AT169*VLOOKUP('Données projet'!$B$10,Paramètres!$A$1:$I$89,3,0)*0.475*44/12</f>
        <v>1.7298649006354451E-22</v>
      </c>
      <c r="AX169" s="21">
        <f t="shared" si="166"/>
        <v>23.987041434700323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319</v>
      </c>
      <c r="BE169" s="13">
        <f>BD169*VLOOKUP('Données projet'!$B$11,Paramètres!$A$1:$I$89,3,0)*VLOOKUP('Données projet'!$B$11,Paramètres!$A$1:$I$89,5,0)</f>
        <v>253.79640000000001</v>
      </c>
      <c r="BF169" s="13">
        <f t="shared" si="167"/>
        <v>61.39816832228076</v>
      </c>
      <c r="BG169" s="20">
        <f t="shared" si="168"/>
        <v>548.96387316130563</v>
      </c>
      <c r="BH169" s="59">
        <f t="shared" si="116"/>
        <v>842.29720649463889</v>
      </c>
      <c r="BI169" s="59">
        <f ca="1">AVERAGE(OFFSET($BH$3,0,0,'Données projet'!$E$11+1,1))-AVERAGE(OFFSET($H$3,0,0,'Données projet'!$E$11+1,1))</f>
        <v>279.49721661620544</v>
      </c>
      <c r="BJ169" s="59">
        <f t="shared" si="146"/>
        <v>275.18739333988754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9.6823005931954356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9.6823005931954356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266.99999999999983</v>
      </c>
      <c r="BZ169" s="13">
        <f>BY169*VLOOKUP('Données projet'!$B$12,Paramètres!$A$1:$I$89,3,0)*VLOOKUP('Données projet'!$B$12,Paramètres!$A$1:$I$89,5,0)</f>
        <v>258.24239999999986</v>
      </c>
      <c r="CA169" s="13">
        <f t="shared" si="170"/>
        <v>62.347580891234152</v>
      </c>
      <c r="CB169" s="20">
        <f t="shared" si="171"/>
        <v>558.3608833855659</v>
      </c>
      <c r="CC169" s="59">
        <f t="shared" si="119"/>
        <v>851.69421671889927</v>
      </c>
      <c r="CD169" s="59">
        <f ca="1">AVERAGE(OFFSET($CC$3,0,0,'Données projet'!$E$12+1,1))-AVERAGE(OFFSET($H$3,0,0,'Données projet'!$E$12+1,1))</f>
        <v>281.84871057356037</v>
      </c>
      <c r="CE169" s="59">
        <f t="shared" si="148"/>
        <v>276.02211904126887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7.7928763334067108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7.7928763334067108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319</v>
      </c>
      <c r="CU169" s="17">
        <f>CT169*VLOOKUP('Données projet'!$B$13,Paramètres!$A$1:$I$89,3,0)*VLOOKUP('Données projet'!$B$13,Paramètres!$A$1:$I$89,5,0)</f>
        <v>253.79640000000001</v>
      </c>
      <c r="CV169" s="13">
        <f t="shared" si="173"/>
        <v>61.39816832228076</v>
      </c>
      <c r="CW169" s="20">
        <f t="shared" si="174"/>
        <v>548.96387316130563</v>
      </c>
      <c r="CX169" s="59">
        <f t="shared" si="122"/>
        <v>842.29720649463889</v>
      </c>
      <c r="CY169" s="59">
        <f ca="1">AVERAGE(OFFSET($CX$3,0,0,'Données projet'!$E$13+1,1))-AVERAGE(OFFSET($H$3,0,0,'Données projet'!$E$13+1,1))</f>
        <v>279.49721661620544</v>
      </c>
      <c r="CZ169" s="59">
        <f t="shared" si="150"/>
        <v>275.18739333988754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9.6823005931954356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9.6823005931954356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267</v>
      </c>
      <c r="DP169" s="17">
        <f>DO169*VLOOKUP('Données projet'!$B$14,Paramètres!$A$1:$I$89,3,0)*VLOOKUP('Données projet'!$B$14,Paramètres!$A$1:$I$89,5,0)</f>
        <v>270.738</v>
      </c>
      <c r="DQ169" s="13">
        <f t="shared" si="176"/>
        <v>65.005866623551711</v>
      </c>
      <c r="DR169" s="20">
        <f t="shared" si="177"/>
        <v>584.7539010360191</v>
      </c>
      <c r="DS169" s="59">
        <f t="shared" si="125"/>
        <v>878.08723436935247</v>
      </c>
      <c r="DT169" s="59">
        <f ca="1">AVERAGE(OFFSET($DS$3,0,0,'Données projet'!$E$14+1,1))-AVERAGE(OFFSET($H$3,0,0,'Données projet'!$E$14+1,1))</f>
        <v>308.80022073574963</v>
      </c>
      <c r="DU169" s="59">
        <f t="shared" si="152"/>
        <v>183.96267407004115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30.852163404025223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30.852163404025223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266.99999999999983</v>
      </c>
      <c r="EK169" s="17">
        <f>EJ169*VLOOKUP('Données projet'!$B$15,Paramètres!$A$1:$I$89,3,0)*VLOOKUP('Données projet'!$B$15,Paramètres!$A$1:$I$89,5,0)</f>
        <v>174.93839999999989</v>
      </c>
      <c r="EL169" s="13">
        <f t="shared" si="179"/>
        <v>44.194210865203175</v>
      </c>
      <c r="EM169" s="20">
        <f t="shared" si="180"/>
        <v>381.65596392356196</v>
      </c>
      <c r="EN169" s="59">
        <f t="shared" si="128"/>
        <v>674.98929725689527</v>
      </c>
      <c r="EO169" s="59">
        <f ca="1">AVERAGE(OFFSET($EN$3,0,0,'Données projet'!$E$15+1,1))-AVERAGE(OFFSET($H$3,0,0,'Données projet'!$E$15+1,1))</f>
        <v>178.71569711875242</v>
      </c>
      <c r="EP169" s="59">
        <f t="shared" si="154"/>
        <v>178.13848582064168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5.2790452581142189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5.2790452581142189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267</v>
      </c>
      <c r="FF169" s="17">
        <f>FE169*VLOOKUP('Données projet'!$B$16,Paramètres!$A$1:$I$89,3,0)*VLOOKUP('Données projet'!$B$16,Paramètres!$A$1:$I$89,5,0)</f>
        <v>224.92080000000001</v>
      </c>
      <c r="FG169" s="13">
        <f t="shared" si="182"/>
        <v>55.1830164775604</v>
      </c>
      <c r="FH169" s="20">
        <f t="shared" si="183"/>
        <v>487.84748036508444</v>
      </c>
      <c r="FI169" s="59">
        <f t="shared" si="131"/>
        <v>781.18081369841775</v>
      </c>
      <c r="FJ169" s="59">
        <f ca="1">AVERAGE(OFFSET($FI$3,0,0,'Données projet'!$E$16+1,1))-AVERAGE(OFFSET($H$3,0,0,'Données projet'!$E$16+1,1))</f>
        <v>247.22536892257716</v>
      </c>
      <c r="FK169" s="59">
        <f t="shared" si="156"/>
        <v>147.97952262756075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25.631028058728671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25.631028058728671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6">
        <f t="shared" si="110"/>
        <v>471.93100610402485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249.0000000000002</v>
      </c>
      <c r="O170" s="13">
        <f>N170*VLOOKUP('Données projet'!$B$9,Paramètres!$A$1:$I$89,3,0)*VLOOKUP('Données projet'!$B$9,Paramètres!$A$1:$I$89,5,0)</f>
        <v>217.52640000000019</v>
      </c>
      <c r="P170" s="13">
        <f t="shared" si="141"/>
        <v>53.576907690651304</v>
      </c>
      <c r="Q170" s="20">
        <f t="shared" si="162"/>
        <v>472.17159422788467</v>
      </c>
      <c r="R170" s="59">
        <f t="shared" si="109"/>
        <v>765.50492756121798</v>
      </c>
      <c r="S170" s="59">
        <f ca="1">AVERAGE(OFFSET($R$3,0,0,'Données projet'!$E$9+1,1))-AVERAGE(OFFSET($H$3,0,0,'Données projet'!$E$9+1,1))</f>
        <v>253.73326067725128</v>
      </c>
      <c r="T170" s="59">
        <f t="shared" si="142"/>
        <v>317.76427047458026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9.1464860007146491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9.1464860007146491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732.99999999999966</v>
      </c>
      <c r="AJ170" s="13">
        <f>AI170*VLOOKUP('Données projet'!$B$10,Paramètres!$A$1:$I$89,3,0)*VLOOKUP('Données projet'!$B$10,Paramètres!$A$1:$I$89,5,0)</f>
        <v>352.57299999999987</v>
      </c>
      <c r="AK170" s="13">
        <f t="shared" si="164"/>
        <v>82.092092597941644</v>
      </c>
      <c r="AL170" s="20">
        <f t="shared" si="165"/>
        <v>757.04170294141477</v>
      </c>
      <c r="AM170" s="59">
        <f t="shared" si="113"/>
        <v>1050.375036274748</v>
      </c>
      <c r="AN170" s="59">
        <f ca="1">AVERAGE(OFFSET($AM$3,0,0,'Données projet'!$E$10+1,1))-AVERAGE(OFFSET($H$3,0,0,'Données projet'!$E$10+1,1))</f>
        <v>349.65790906807746</v>
      </c>
      <c r="AO170" s="59">
        <f t="shared" si="144"/>
        <v>291.88925884278888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22.586357948294928</v>
      </c>
      <c r="AV170" s="21">
        <f>EXP(-LN(2)/25)*AV169+(1-EXP(-LN(2)/25))/(LN(2)/25)*Calculateur!AQ170*Calculateur!AS170*VLOOKUP('Données projet'!$B$10,Paramètres!$A$1:$I$89,3,0)*0.475*44/12</f>
        <v>0.92297170981792709</v>
      </c>
      <c r="AW170" s="21">
        <f>EXP(-LN(2)/2)*AW169+(1-EXP(-LN(2)/2))/(LN(2)/2)*AQ170*AT170*VLOOKUP('Données projet'!$B$10,Paramètres!$A$1:$I$89,3,0)*0.475*44/12</f>
        <v>1.2231992017759164E-22</v>
      </c>
      <c r="AX170" s="21">
        <f t="shared" si="166"/>
        <v>23.509329658112854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319</v>
      </c>
      <c r="BE170" s="13">
        <f>BD170*VLOOKUP('Données projet'!$B$11,Paramètres!$A$1:$I$89,3,0)*VLOOKUP('Données projet'!$B$11,Paramètres!$A$1:$I$89,5,0)</f>
        <v>253.79640000000001</v>
      </c>
      <c r="BF170" s="13">
        <f t="shared" si="167"/>
        <v>61.39816832228076</v>
      </c>
      <c r="BG170" s="20">
        <f t="shared" si="168"/>
        <v>548.96387316130563</v>
      </c>
      <c r="BH170" s="59">
        <f t="shared" si="116"/>
        <v>842.29720649463889</v>
      </c>
      <c r="BI170" s="59">
        <f ca="1">AVERAGE(OFFSET($BH$3,0,0,'Données projet'!$E$11+1,1))-AVERAGE(OFFSET($H$3,0,0,'Données projet'!$E$11+1,1))</f>
        <v>279.49721661620544</v>
      </c>
      <c r="BJ170" s="59">
        <f t="shared" si="146"/>
        <v>275.18739333988754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9.4924365841831033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9.4924365841831033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266.99999999999983</v>
      </c>
      <c r="BZ170" s="13">
        <f>BY170*VLOOKUP('Données projet'!$B$12,Paramètres!$A$1:$I$89,3,0)*VLOOKUP('Données projet'!$B$12,Paramètres!$A$1:$I$89,5,0)</f>
        <v>258.24239999999986</v>
      </c>
      <c r="CA170" s="13">
        <f t="shared" si="170"/>
        <v>62.347580891234152</v>
      </c>
      <c r="CB170" s="20">
        <f t="shared" si="171"/>
        <v>558.3608833855659</v>
      </c>
      <c r="CC170" s="59">
        <f t="shared" si="119"/>
        <v>851.69421671889927</v>
      </c>
      <c r="CD170" s="59">
        <f ca="1">AVERAGE(OFFSET($CC$3,0,0,'Données projet'!$E$12+1,1))-AVERAGE(OFFSET($H$3,0,0,'Données projet'!$E$12+1,1))</f>
        <v>281.84871057356037</v>
      </c>
      <c r="CE170" s="59">
        <f t="shared" si="148"/>
        <v>276.02211904126887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7.6400627816938309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7.6400627816938309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319</v>
      </c>
      <c r="CU170" s="17">
        <f>CT170*VLOOKUP('Données projet'!$B$13,Paramètres!$A$1:$I$89,3,0)*VLOOKUP('Données projet'!$B$13,Paramètres!$A$1:$I$89,5,0)</f>
        <v>253.79640000000001</v>
      </c>
      <c r="CV170" s="13">
        <f t="shared" si="173"/>
        <v>61.39816832228076</v>
      </c>
      <c r="CW170" s="20">
        <f t="shared" si="174"/>
        <v>548.96387316130563</v>
      </c>
      <c r="CX170" s="59">
        <f t="shared" si="122"/>
        <v>842.29720649463889</v>
      </c>
      <c r="CY170" s="59">
        <f ca="1">AVERAGE(OFFSET($CX$3,0,0,'Données projet'!$E$13+1,1))-AVERAGE(OFFSET($H$3,0,0,'Données projet'!$E$13+1,1))</f>
        <v>279.49721661620544</v>
      </c>
      <c r="CZ170" s="59">
        <f t="shared" si="150"/>
        <v>275.18739333988754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9.4924365841831033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9.4924365841831033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267</v>
      </c>
      <c r="DP170" s="17">
        <f>DO170*VLOOKUP('Données projet'!$B$14,Paramètres!$A$1:$I$89,3,0)*VLOOKUP('Données projet'!$B$14,Paramètres!$A$1:$I$89,5,0)</f>
        <v>270.738</v>
      </c>
      <c r="DQ170" s="13">
        <f t="shared" si="176"/>
        <v>65.005866623551711</v>
      </c>
      <c r="DR170" s="20">
        <f t="shared" si="177"/>
        <v>584.7539010360191</v>
      </c>
      <c r="DS170" s="59">
        <f t="shared" si="125"/>
        <v>878.08723436935247</v>
      </c>
      <c r="DT170" s="59">
        <f ca="1">AVERAGE(OFFSET($DS$3,0,0,'Données projet'!$E$14+1,1))-AVERAGE(OFFSET($H$3,0,0,'Données projet'!$E$14+1,1))</f>
        <v>308.80022073574963</v>
      </c>
      <c r="DU170" s="59">
        <f t="shared" si="152"/>
        <v>183.96267407004115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30.247171297633844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30.247171297633844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266.99999999999983</v>
      </c>
      <c r="EK170" s="17">
        <f>EJ170*VLOOKUP('Données projet'!$B$15,Paramètres!$A$1:$I$89,3,0)*VLOOKUP('Données projet'!$B$15,Paramètres!$A$1:$I$89,5,0)</f>
        <v>174.93839999999989</v>
      </c>
      <c r="EL170" s="13">
        <f t="shared" si="179"/>
        <v>44.194210865203175</v>
      </c>
      <c r="EM170" s="20">
        <f t="shared" si="180"/>
        <v>381.65596392356196</v>
      </c>
      <c r="EN170" s="59">
        <f t="shared" si="128"/>
        <v>674.98929725689527</v>
      </c>
      <c r="EO170" s="59">
        <f ca="1">AVERAGE(OFFSET($EN$3,0,0,'Données projet'!$E$15+1,1))-AVERAGE(OFFSET($H$3,0,0,'Données projet'!$E$15+1,1))</f>
        <v>178.71569711875242</v>
      </c>
      <c r="EP170" s="59">
        <f t="shared" si="154"/>
        <v>178.13848582064168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5.1755264005022674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5.1755264005022674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267</v>
      </c>
      <c r="FF170" s="17">
        <f>FE170*VLOOKUP('Données projet'!$B$16,Paramètres!$A$1:$I$89,3,0)*VLOOKUP('Données projet'!$B$16,Paramètres!$A$1:$I$89,5,0)</f>
        <v>224.92080000000001</v>
      </c>
      <c r="FG170" s="13">
        <f t="shared" si="182"/>
        <v>55.1830164775604</v>
      </c>
      <c r="FH170" s="20">
        <f t="shared" si="183"/>
        <v>487.84748036508444</v>
      </c>
      <c r="FI170" s="59">
        <f t="shared" si="131"/>
        <v>781.18081369841775</v>
      </c>
      <c r="FJ170" s="59">
        <f ca="1">AVERAGE(OFFSET($FI$3,0,0,'Données projet'!$E$16+1,1))-AVERAGE(OFFSET($H$3,0,0,'Données projet'!$E$16+1,1))</f>
        <v>247.22536892257716</v>
      </c>
      <c r="FK170" s="59">
        <f t="shared" si="156"/>
        <v>147.97952262756075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25.12841923188045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25.12841923188045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6">
        <f t="shared" si="110"/>
        <v>472.97341153674216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249.0000000000002</v>
      </c>
      <c r="O171" s="13">
        <f>N171*VLOOKUP('Données projet'!$B$9,Paramètres!$A$1:$I$89,3,0)*VLOOKUP('Données projet'!$B$9,Paramètres!$A$1:$I$89,5,0)</f>
        <v>217.52640000000019</v>
      </c>
      <c r="P171" s="13">
        <f t="shared" si="141"/>
        <v>53.576907690651304</v>
      </c>
      <c r="Q171" s="20">
        <f t="shared" si="162"/>
        <v>472.17159422788467</v>
      </c>
      <c r="R171" s="59">
        <f t="shared" si="109"/>
        <v>765.50492756121798</v>
      </c>
      <c r="S171" s="59">
        <f ca="1">AVERAGE(OFFSET($R$3,0,0,'Données projet'!$E$9+1,1))-AVERAGE(OFFSET($H$3,0,0,'Données projet'!$E$9+1,1))</f>
        <v>253.73326067725128</v>
      </c>
      <c r="T171" s="59">
        <f t="shared" si="142"/>
        <v>317.76427047458026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8.967128989046234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8.967128989046234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732.99999999999966</v>
      </c>
      <c r="AJ171" s="13">
        <f>AI171*VLOOKUP('Données projet'!$B$10,Paramètres!$A$1:$I$89,3,0)*VLOOKUP('Données projet'!$B$10,Paramètres!$A$1:$I$89,5,0)</f>
        <v>352.57299999999987</v>
      </c>
      <c r="AK171" s="13">
        <f t="shared" si="164"/>
        <v>82.092092597941644</v>
      </c>
      <c r="AL171" s="20">
        <f t="shared" si="165"/>
        <v>757.04170294141477</v>
      </c>
      <c r="AM171" s="59">
        <f t="shared" si="113"/>
        <v>1050.375036274748</v>
      </c>
      <c r="AN171" s="59">
        <f ca="1">AVERAGE(OFFSET($AM$3,0,0,'Données projet'!$E$10+1,1))-AVERAGE(OFFSET($H$3,0,0,'Données projet'!$E$10+1,1))</f>
        <v>349.65790906807746</v>
      </c>
      <c r="AO171" s="59">
        <f t="shared" si="144"/>
        <v>291.88925884278888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22.143453245246913</v>
      </c>
      <c r="AV171" s="21">
        <f>EXP(-LN(2)/25)*AV170+(1-EXP(-LN(2)/25))/(LN(2)/25)*Calculateur!AQ171*Calculateur!AS171*VLOOKUP('Données projet'!$B$10,Paramètres!$A$1:$I$89,3,0)*0.475*44/12</f>
        <v>0.8977329998759831</v>
      </c>
      <c r="AW171" s="21">
        <f>EXP(-LN(2)/2)*AW170+(1-EXP(-LN(2)/2))/(LN(2)/2)*AQ171*AT171*VLOOKUP('Données projet'!$B$10,Paramètres!$A$1:$I$89,3,0)*0.475*44/12</f>
        <v>8.6493245031772254E-23</v>
      </c>
      <c r="AX171" s="21">
        <f t="shared" si="166"/>
        <v>23.041186245122898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319</v>
      </c>
      <c r="BE171" s="13">
        <f>BD171*VLOOKUP('Données projet'!$B$11,Paramètres!$A$1:$I$89,3,0)*VLOOKUP('Données projet'!$B$11,Paramètres!$A$1:$I$89,5,0)</f>
        <v>253.79640000000001</v>
      </c>
      <c r="BF171" s="13">
        <f t="shared" si="167"/>
        <v>61.39816832228076</v>
      </c>
      <c r="BG171" s="20">
        <f t="shared" si="168"/>
        <v>548.96387316130563</v>
      </c>
      <c r="BH171" s="59">
        <f t="shared" si="116"/>
        <v>842.29720649463889</v>
      </c>
      <c r="BI171" s="59">
        <f ca="1">AVERAGE(OFFSET($BH$3,0,0,'Données projet'!$E$11+1,1))-AVERAGE(OFFSET($H$3,0,0,'Données projet'!$E$11+1,1))</f>
        <v>279.49721661620544</v>
      </c>
      <c r="BJ171" s="59">
        <f t="shared" si="146"/>
        <v>275.18739333988754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9.3062956925818927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9.3062956925818927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266.99999999999983</v>
      </c>
      <c r="BZ171" s="13">
        <f>BY171*VLOOKUP('Données projet'!$B$12,Paramètres!$A$1:$I$89,3,0)*VLOOKUP('Données projet'!$B$12,Paramètres!$A$1:$I$89,5,0)</f>
        <v>258.24239999999986</v>
      </c>
      <c r="CA171" s="13">
        <f t="shared" si="170"/>
        <v>62.347580891234152</v>
      </c>
      <c r="CB171" s="20">
        <f t="shared" si="171"/>
        <v>558.3608833855659</v>
      </c>
      <c r="CC171" s="59">
        <f t="shared" si="119"/>
        <v>851.69421671889927</v>
      </c>
      <c r="CD171" s="59">
        <f ca="1">AVERAGE(OFFSET($CC$3,0,0,'Données projet'!$E$12+1,1))-AVERAGE(OFFSET($H$3,0,0,'Données projet'!$E$12+1,1))</f>
        <v>281.84871057356037</v>
      </c>
      <c r="CE171" s="59">
        <f t="shared" si="148"/>
        <v>276.02211904126887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7.4902458105229774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7.4902458105229774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319</v>
      </c>
      <c r="CU171" s="17">
        <f>CT171*VLOOKUP('Données projet'!$B$13,Paramètres!$A$1:$I$89,3,0)*VLOOKUP('Données projet'!$B$13,Paramètres!$A$1:$I$89,5,0)</f>
        <v>253.79640000000001</v>
      </c>
      <c r="CV171" s="13">
        <f t="shared" si="173"/>
        <v>61.39816832228076</v>
      </c>
      <c r="CW171" s="20">
        <f t="shared" si="174"/>
        <v>548.96387316130563</v>
      </c>
      <c r="CX171" s="59">
        <f t="shared" si="122"/>
        <v>842.29720649463889</v>
      </c>
      <c r="CY171" s="59">
        <f ca="1">AVERAGE(OFFSET($CX$3,0,0,'Données projet'!$E$13+1,1))-AVERAGE(OFFSET($H$3,0,0,'Données projet'!$E$13+1,1))</f>
        <v>279.49721661620544</v>
      </c>
      <c r="CZ171" s="59">
        <f t="shared" si="150"/>
        <v>275.18739333988754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9.3062956925818927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9.3062956925818927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267</v>
      </c>
      <c r="DP171" s="17">
        <f>DO171*VLOOKUP('Données projet'!$B$14,Paramètres!$A$1:$I$89,3,0)*VLOOKUP('Données projet'!$B$14,Paramètres!$A$1:$I$89,5,0)</f>
        <v>270.738</v>
      </c>
      <c r="DQ171" s="13">
        <f t="shared" si="176"/>
        <v>65.005866623551711</v>
      </c>
      <c r="DR171" s="20">
        <f t="shared" si="177"/>
        <v>584.7539010360191</v>
      </c>
      <c r="DS171" s="59">
        <f t="shared" si="125"/>
        <v>878.08723436935247</v>
      </c>
      <c r="DT171" s="59">
        <f ca="1">AVERAGE(OFFSET($DS$3,0,0,'Données projet'!$E$14+1,1))-AVERAGE(OFFSET($H$3,0,0,'Données projet'!$E$14+1,1))</f>
        <v>308.80022073574963</v>
      </c>
      <c r="DU171" s="59">
        <f t="shared" si="152"/>
        <v>183.96267407004115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29.654042717440053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29.654042717440053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266.99999999999983</v>
      </c>
      <c r="EK171" s="17">
        <f>EJ171*VLOOKUP('Données projet'!$B$15,Paramètres!$A$1:$I$89,3,0)*VLOOKUP('Données projet'!$B$15,Paramètres!$A$1:$I$89,5,0)</f>
        <v>174.93839999999989</v>
      </c>
      <c r="EL171" s="13">
        <f t="shared" si="179"/>
        <v>44.194210865203175</v>
      </c>
      <c r="EM171" s="20">
        <f t="shared" si="180"/>
        <v>381.65596392356196</v>
      </c>
      <c r="EN171" s="59">
        <f t="shared" si="128"/>
        <v>674.98929725689527</v>
      </c>
      <c r="EO171" s="59">
        <f ca="1">AVERAGE(OFFSET($EN$3,0,0,'Données projet'!$E$15+1,1))-AVERAGE(OFFSET($H$3,0,0,'Données projet'!$E$15+1,1))</f>
        <v>178.71569711875242</v>
      </c>
      <c r="EP171" s="59">
        <f t="shared" si="154"/>
        <v>178.13848582064168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5.0740374845478184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5.0740374845478184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267</v>
      </c>
      <c r="FF171" s="17">
        <f>FE171*VLOOKUP('Données projet'!$B$16,Paramètres!$A$1:$I$89,3,0)*VLOOKUP('Données projet'!$B$16,Paramètres!$A$1:$I$89,5,0)</f>
        <v>224.92080000000001</v>
      </c>
      <c r="FG171" s="13">
        <f t="shared" si="182"/>
        <v>55.1830164775604</v>
      </c>
      <c r="FH171" s="20">
        <f t="shared" si="183"/>
        <v>487.84748036508444</v>
      </c>
      <c r="FI171" s="59">
        <f t="shared" si="131"/>
        <v>781.18081369841775</v>
      </c>
      <c r="FJ171" s="59">
        <f ca="1">AVERAGE(OFFSET($FI$3,0,0,'Données projet'!$E$16+1,1))-AVERAGE(OFFSET($H$3,0,0,'Données projet'!$E$16+1,1))</f>
        <v>247.22536892257716</v>
      </c>
      <c r="FK171" s="59">
        <f t="shared" si="156"/>
        <v>147.97952262756075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24.635666257565607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24.635666257565607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6">
        <f t="shared" si="110"/>
        <v>474.0156752149349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249.0000000000002</v>
      </c>
      <c r="O172" s="13">
        <f>N172*VLOOKUP('Données projet'!$B$9,Paramètres!$A$1:$I$89,3,0)*VLOOKUP('Données projet'!$B$9,Paramètres!$A$1:$I$89,5,0)</f>
        <v>217.52640000000019</v>
      </c>
      <c r="P172" s="13">
        <f t="shared" si="141"/>
        <v>53.576907690651304</v>
      </c>
      <c r="Q172" s="20">
        <f t="shared" si="162"/>
        <v>472.17159422788467</v>
      </c>
      <c r="R172" s="59">
        <f t="shared" si="109"/>
        <v>765.50492756121798</v>
      </c>
      <c r="S172" s="59">
        <f ca="1">AVERAGE(OFFSET($R$3,0,0,'Données projet'!$E$9+1,1))-AVERAGE(OFFSET($H$3,0,0,'Données projet'!$E$9+1,1))</f>
        <v>253.73326067725128</v>
      </c>
      <c r="T172" s="59">
        <f t="shared" si="142"/>
        <v>317.76427047458026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8.7912890589796611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8.7912890589796611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732.99999999999966</v>
      </c>
      <c r="AJ172" s="13">
        <f>AI172*VLOOKUP('Données projet'!$B$10,Paramètres!$A$1:$I$89,3,0)*VLOOKUP('Données projet'!$B$10,Paramètres!$A$1:$I$89,5,0)</f>
        <v>352.57299999999987</v>
      </c>
      <c r="AK172" s="13">
        <f t="shared" si="164"/>
        <v>82.092092597941644</v>
      </c>
      <c r="AL172" s="20">
        <f t="shared" si="165"/>
        <v>757.04170294141477</v>
      </c>
      <c r="AM172" s="59">
        <f t="shared" si="113"/>
        <v>1050.375036274748</v>
      </c>
      <c r="AN172" s="59">
        <f ca="1">AVERAGE(OFFSET($AM$3,0,0,'Données projet'!$E$10+1,1))-AVERAGE(OFFSET($H$3,0,0,'Données projet'!$E$10+1,1))</f>
        <v>349.65790906807746</v>
      </c>
      <c r="AO172" s="59">
        <f t="shared" si="144"/>
        <v>291.88925884278888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21.709233633280476</v>
      </c>
      <c r="AV172" s="21">
        <f>EXP(-LN(2)/25)*AV171+(1-EXP(-LN(2)/25))/(LN(2)/25)*Calculateur!AQ172*Calculateur!AS172*VLOOKUP('Données projet'!$B$10,Paramètres!$A$1:$I$89,3,0)*0.475*44/12</f>
        <v>0.87318444378464766</v>
      </c>
      <c r="AW172" s="21">
        <f>EXP(-LN(2)/2)*AW171+(1-EXP(-LN(2)/2))/(LN(2)/2)*AQ172*AT172*VLOOKUP('Données projet'!$B$10,Paramètres!$A$1:$I$89,3,0)*0.475*44/12</f>
        <v>6.1159960088795822E-23</v>
      </c>
      <c r="AX172" s="21">
        <f t="shared" si="166"/>
        <v>22.582418077065125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319</v>
      </c>
      <c r="BE172" s="13">
        <f>BD172*VLOOKUP('Données projet'!$B$11,Paramètres!$A$1:$I$89,3,0)*VLOOKUP('Données projet'!$B$11,Paramètres!$A$1:$I$89,5,0)</f>
        <v>253.79640000000001</v>
      </c>
      <c r="BF172" s="13">
        <f t="shared" si="167"/>
        <v>61.39816832228076</v>
      </c>
      <c r="BG172" s="20">
        <f t="shared" si="168"/>
        <v>548.96387316130563</v>
      </c>
      <c r="BH172" s="59">
        <f t="shared" si="116"/>
        <v>842.29720649463889</v>
      </c>
      <c r="BI172" s="59">
        <f ca="1">AVERAGE(OFFSET($BH$3,0,0,'Données projet'!$E$11+1,1))-AVERAGE(OFFSET($H$3,0,0,'Données projet'!$E$11+1,1))</f>
        <v>279.49721661620544</v>
      </c>
      <c r="BJ172" s="59">
        <f t="shared" si="146"/>
        <v>275.18739333988754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9.1238049103302483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9.1238049103302483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266.99999999999983</v>
      </c>
      <c r="BZ172" s="13">
        <f>BY172*VLOOKUP('Données projet'!$B$12,Paramètres!$A$1:$I$89,3,0)*VLOOKUP('Données projet'!$B$12,Paramètres!$A$1:$I$89,5,0)</f>
        <v>258.24239999999986</v>
      </c>
      <c r="CA172" s="13">
        <f t="shared" si="170"/>
        <v>62.347580891234152</v>
      </c>
      <c r="CB172" s="20">
        <f t="shared" si="171"/>
        <v>558.3608833855659</v>
      </c>
      <c r="CC172" s="59">
        <f t="shared" si="119"/>
        <v>851.69421671889927</v>
      </c>
      <c r="CD172" s="59">
        <f ca="1">AVERAGE(OFFSET($CC$3,0,0,'Données projet'!$E$12+1,1))-AVERAGE(OFFSET($H$3,0,0,'Données projet'!$E$12+1,1))</f>
        <v>281.84871057356037</v>
      </c>
      <c r="CE172" s="59">
        <f t="shared" si="148"/>
        <v>276.02211904126887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7.3433666587774544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7.3433666587774544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319</v>
      </c>
      <c r="CU172" s="17">
        <f>CT172*VLOOKUP('Données projet'!$B$13,Paramètres!$A$1:$I$89,3,0)*VLOOKUP('Données projet'!$B$13,Paramètres!$A$1:$I$89,5,0)</f>
        <v>253.79640000000001</v>
      </c>
      <c r="CV172" s="13">
        <f t="shared" si="173"/>
        <v>61.39816832228076</v>
      </c>
      <c r="CW172" s="20">
        <f t="shared" si="174"/>
        <v>548.96387316130563</v>
      </c>
      <c r="CX172" s="59">
        <f t="shared" si="122"/>
        <v>842.29720649463889</v>
      </c>
      <c r="CY172" s="59">
        <f ca="1">AVERAGE(OFFSET($CX$3,0,0,'Données projet'!$E$13+1,1))-AVERAGE(OFFSET($H$3,0,0,'Données projet'!$E$13+1,1))</f>
        <v>279.49721661620544</v>
      </c>
      <c r="CZ172" s="59">
        <f t="shared" si="150"/>
        <v>275.18739333988754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9.1238049103302483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9.1238049103302483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267</v>
      </c>
      <c r="DP172" s="17">
        <f>DO172*VLOOKUP('Données projet'!$B$14,Paramètres!$A$1:$I$89,3,0)*VLOOKUP('Données projet'!$B$14,Paramètres!$A$1:$I$89,5,0)</f>
        <v>270.738</v>
      </c>
      <c r="DQ172" s="13">
        <f t="shared" si="176"/>
        <v>65.005866623551711</v>
      </c>
      <c r="DR172" s="20">
        <f t="shared" si="177"/>
        <v>584.7539010360191</v>
      </c>
      <c r="DS172" s="59">
        <f t="shared" si="125"/>
        <v>878.08723436935247</v>
      </c>
      <c r="DT172" s="59">
        <f ca="1">AVERAGE(OFFSET($DS$3,0,0,'Données projet'!$E$14+1,1))-AVERAGE(OFFSET($H$3,0,0,'Données projet'!$E$14+1,1))</f>
        <v>308.80022073574963</v>
      </c>
      <c r="DU172" s="59">
        <f t="shared" si="152"/>
        <v>183.96267407004115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29.072545026931149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29.072545026931149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266.99999999999983</v>
      </c>
      <c r="EK172" s="17">
        <f>EJ172*VLOOKUP('Données projet'!$B$15,Paramètres!$A$1:$I$89,3,0)*VLOOKUP('Données projet'!$B$15,Paramètres!$A$1:$I$89,5,0)</f>
        <v>174.93839999999989</v>
      </c>
      <c r="EL172" s="13">
        <f t="shared" si="179"/>
        <v>44.194210865203175</v>
      </c>
      <c r="EM172" s="20">
        <f t="shared" si="180"/>
        <v>381.65596392356196</v>
      </c>
      <c r="EN172" s="59">
        <f t="shared" si="128"/>
        <v>674.98929725689527</v>
      </c>
      <c r="EO172" s="59">
        <f ca="1">AVERAGE(OFFSET($EN$3,0,0,'Données projet'!$E$15+1,1))-AVERAGE(OFFSET($H$3,0,0,'Données projet'!$E$15+1,1))</f>
        <v>178.71569711875242</v>
      </c>
      <c r="EP172" s="59">
        <f t="shared" si="154"/>
        <v>178.13848582064168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4.97453870433311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4.97453870433311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267</v>
      </c>
      <c r="FF172" s="17">
        <f>FE172*VLOOKUP('Données projet'!$B$16,Paramètres!$A$1:$I$89,3,0)*VLOOKUP('Données projet'!$B$16,Paramètres!$A$1:$I$89,5,0)</f>
        <v>224.92080000000001</v>
      </c>
      <c r="FG172" s="13">
        <f t="shared" si="182"/>
        <v>55.1830164775604</v>
      </c>
      <c r="FH172" s="20">
        <f t="shared" si="183"/>
        <v>487.84748036508444</v>
      </c>
      <c r="FI172" s="59">
        <f t="shared" si="131"/>
        <v>781.18081369841775</v>
      </c>
      <c r="FJ172" s="59">
        <f ca="1">AVERAGE(OFFSET($FI$3,0,0,'Données projet'!$E$16+1,1))-AVERAGE(OFFSET($H$3,0,0,'Données projet'!$E$16+1,1))</f>
        <v>247.22536892257716</v>
      </c>
      <c r="FK172" s="59">
        <f t="shared" si="156"/>
        <v>147.97952262756075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24.152575868527443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24.152575868527443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6">
        <f t="shared" si="110"/>
        <v>475.05779807471038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249.0000000000002</v>
      </c>
      <c r="O173" s="13">
        <f>N173*VLOOKUP('Données projet'!$B$9,Paramètres!$A$1:$I$89,3,0)*VLOOKUP('Données projet'!$B$9,Paramètres!$A$1:$I$89,5,0)</f>
        <v>217.52640000000019</v>
      </c>
      <c r="P173" s="13">
        <f t="shared" si="141"/>
        <v>53.576907690651304</v>
      </c>
      <c r="Q173" s="20">
        <f t="shared" si="162"/>
        <v>472.17159422788467</v>
      </c>
      <c r="R173" s="59">
        <f t="shared" si="109"/>
        <v>765.50492756121798</v>
      </c>
      <c r="S173" s="59">
        <f ca="1">AVERAGE(OFFSET($R$3,0,0,'Données projet'!$E$9+1,1))-AVERAGE(OFFSET($H$3,0,0,'Données projet'!$E$9+1,1))</f>
        <v>253.73326067725128</v>
      </c>
      <c r="T173" s="59">
        <f t="shared" si="142"/>
        <v>317.76427047458026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8.6188972426899273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8.6188972426899273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732.99999999999966</v>
      </c>
      <c r="AJ173" s="13">
        <f>AI173*VLOOKUP('Données projet'!$B$10,Paramètres!$A$1:$I$89,3,0)*VLOOKUP('Données projet'!$B$10,Paramètres!$A$1:$I$89,5,0)</f>
        <v>352.57299999999987</v>
      </c>
      <c r="AK173" s="13">
        <f t="shared" si="164"/>
        <v>82.092092597941644</v>
      </c>
      <c r="AL173" s="20">
        <f t="shared" si="165"/>
        <v>757.04170294141477</v>
      </c>
      <c r="AM173" s="59">
        <f t="shared" si="113"/>
        <v>1050.375036274748</v>
      </c>
      <c r="AN173" s="59">
        <f ca="1">AVERAGE(OFFSET($AM$3,0,0,'Données projet'!$E$10+1,1))-AVERAGE(OFFSET($H$3,0,0,'Données projet'!$E$10+1,1))</f>
        <v>349.65790906807746</v>
      </c>
      <c r="AO173" s="59">
        <f t="shared" si="144"/>
        <v>291.88925884278888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21.283528803056889</v>
      </c>
      <c r="AV173" s="21">
        <f>EXP(-LN(2)/25)*AV172+(1-EXP(-LN(2)/25))/(LN(2)/25)*Calculateur!AQ173*Calculateur!AS173*VLOOKUP('Données projet'!$B$10,Paramètres!$A$1:$I$89,3,0)*0.475*44/12</f>
        <v>0.84930716925058225</v>
      </c>
      <c r="AW173" s="21">
        <f>EXP(-LN(2)/2)*AW172+(1-EXP(-LN(2)/2))/(LN(2)/2)*AQ173*AT173*VLOOKUP('Données projet'!$B$10,Paramètres!$A$1:$I$89,3,0)*0.475*44/12</f>
        <v>4.3246622515886127E-23</v>
      </c>
      <c r="AX173" s="21">
        <f t="shared" si="166"/>
        <v>22.132835972307472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319</v>
      </c>
      <c r="BE173" s="13">
        <f>BD173*VLOOKUP('Données projet'!$B$11,Paramètres!$A$1:$I$89,3,0)*VLOOKUP('Données projet'!$B$11,Paramètres!$A$1:$I$89,5,0)</f>
        <v>253.79640000000001</v>
      </c>
      <c r="BF173" s="13">
        <f t="shared" si="167"/>
        <v>61.39816832228076</v>
      </c>
      <c r="BG173" s="20">
        <f t="shared" si="168"/>
        <v>548.96387316130563</v>
      </c>
      <c r="BH173" s="59">
        <f t="shared" si="116"/>
        <v>842.29720649463889</v>
      </c>
      <c r="BI173" s="59">
        <f ca="1">AVERAGE(OFFSET($BH$3,0,0,'Données projet'!$E$11+1,1))-AVERAGE(OFFSET($H$3,0,0,'Données projet'!$E$11+1,1))</f>
        <v>279.49721661620544</v>
      </c>
      <c r="BJ173" s="59">
        <f t="shared" si="146"/>
        <v>275.18739333988754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8.9448926610101722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8.9448926610101722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266.99999999999983</v>
      </c>
      <c r="BZ173" s="13">
        <f>BY173*VLOOKUP('Données projet'!$B$12,Paramètres!$A$1:$I$89,3,0)*VLOOKUP('Données projet'!$B$12,Paramètres!$A$1:$I$89,5,0)</f>
        <v>258.24239999999986</v>
      </c>
      <c r="CA173" s="13">
        <f t="shared" si="170"/>
        <v>62.347580891234152</v>
      </c>
      <c r="CB173" s="20">
        <f t="shared" si="171"/>
        <v>558.3608833855659</v>
      </c>
      <c r="CC173" s="59">
        <f t="shared" si="119"/>
        <v>851.69421671889927</v>
      </c>
      <c r="CD173" s="59">
        <f ca="1">AVERAGE(OFFSET($CC$3,0,0,'Données projet'!$E$12+1,1))-AVERAGE(OFFSET($H$3,0,0,'Données projet'!$E$12+1,1))</f>
        <v>281.84871057356037</v>
      </c>
      <c r="CE173" s="59">
        <f t="shared" si="148"/>
        <v>276.02211904126887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7.1993677176102251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7.1993677176102251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319</v>
      </c>
      <c r="CU173" s="17">
        <f>CT173*VLOOKUP('Données projet'!$B$13,Paramètres!$A$1:$I$89,3,0)*VLOOKUP('Données projet'!$B$13,Paramètres!$A$1:$I$89,5,0)</f>
        <v>253.79640000000001</v>
      </c>
      <c r="CV173" s="13">
        <f t="shared" si="173"/>
        <v>61.39816832228076</v>
      </c>
      <c r="CW173" s="20">
        <f t="shared" si="174"/>
        <v>548.96387316130563</v>
      </c>
      <c r="CX173" s="59">
        <f t="shared" si="122"/>
        <v>842.29720649463889</v>
      </c>
      <c r="CY173" s="59">
        <f ca="1">AVERAGE(OFFSET($CX$3,0,0,'Données projet'!$E$13+1,1))-AVERAGE(OFFSET($H$3,0,0,'Données projet'!$E$13+1,1))</f>
        <v>279.49721661620544</v>
      </c>
      <c r="CZ173" s="59">
        <f t="shared" si="150"/>
        <v>275.18739333988754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8.9448926610101722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8.9448926610101722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267</v>
      </c>
      <c r="DP173" s="17">
        <f>DO173*VLOOKUP('Données projet'!$B$14,Paramètres!$A$1:$I$89,3,0)*VLOOKUP('Données projet'!$B$14,Paramètres!$A$1:$I$89,5,0)</f>
        <v>270.738</v>
      </c>
      <c r="DQ173" s="13">
        <f t="shared" si="176"/>
        <v>65.005866623551711</v>
      </c>
      <c r="DR173" s="20">
        <f t="shared" si="177"/>
        <v>584.7539010360191</v>
      </c>
      <c r="DS173" s="59">
        <f t="shared" si="125"/>
        <v>878.08723436935247</v>
      </c>
      <c r="DT173" s="59">
        <f ca="1">AVERAGE(OFFSET($DS$3,0,0,'Données projet'!$E$14+1,1))-AVERAGE(OFFSET($H$3,0,0,'Données projet'!$E$14+1,1))</f>
        <v>308.80022073574963</v>
      </c>
      <c r="DU173" s="59">
        <f t="shared" si="152"/>
        <v>183.96267407004115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28.502450151454557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28.502450151454557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266.99999999999983</v>
      </c>
      <c r="EK173" s="17">
        <f>EJ173*VLOOKUP('Données projet'!$B$15,Paramètres!$A$1:$I$89,3,0)*VLOOKUP('Données projet'!$B$15,Paramètres!$A$1:$I$89,5,0)</f>
        <v>174.93839999999989</v>
      </c>
      <c r="EL173" s="13">
        <f t="shared" si="179"/>
        <v>44.194210865203175</v>
      </c>
      <c r="EM173" s="20">
        <f t="shared" si="180"/>
        <v>381.65596392356196</v>
      </c>
      <c r="EN173" s="59">
        <f t="shared" si="128"/>
        <v>674.98929725689527</v>
      </c>
      <c r="EO173" s="59">
        <f ca="1">AVERAGE(OFFSET($EN$3,0,0,'Données projet'!$E$15+1,1))-AVERAGE(OFFSET($H$3,0,0,'Données projet'!$E$15+1,1))</f>
        <v>178.71569711875242</v>
      </c>
      <c r="EP173" s="59">
        <f t="shared" si="154"/>
        <v>178.13848582064168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4.8769910345101479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4.8769910345101479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267</v>
      </c>
      <c r="FF173" s="17">
        <f>FE173*VLOOKUP('Données projet'!$B$16,Paramètres!$A$1:$I$89,3,0)*VLOOKUP('Données projet'!$B$16,Paramètres!$A$1:$I$89,5,0)</f>
        <v>224.92080000000001</v>
      </c>
      <c r="FG173" s="13">
        <f t="shared" si="182"/>
        <v>55.1830164775604</v>
      </c>
      <c r="FH173" s="20">
        <f t="shared" si="183"/>
        <v>487.84748036508444</v>
      </c>
      <c r="FI173" s="59">
        <f t="shared" si="131"/>
        <v>781.18081369841775</v>
      </c>
      <c r="FJ173" s="59">
        <f ca="1">AVERAGE(OFFSET($FI$3,0,0,'Données projet'!$E$16+1,1))-AVERAGE(OFFSET($H$3,0,0,'Données projet'!$E$16+1,1))</f>
        <v>247.22536892257716</v>
      </c>
      <c r="FK173" s="59">
        <f t="shared" si="156"/>
        <v>147.97952262756075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23.678958587362274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23.678958587362274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6">
        <f t="shared" si="110"/>
        <v>476.0997810405255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249.0000000000002</v>
      </c>
      <c r="O174" s="13">
        <f>N174*VLOOKUP('Données projet'!$B$9,Paramètres!$A$1:$I$89,3,0)*VLOOKUP('Données projet'!$B$9,Paramètres!$A$1:$I$89,5,0)</f>
        <v>217.52640000000019</v>
      </c>
      <c r="P174" s="13">
        <f t="shared" si="141"/>
        <v>53.576907690651304</v>
      </c>
      <c r="Q174" s="20">
        <f t="shared" si="162"/>
        <v>472.17159422788467</v>
      </c>
      <c r="R174" s="59">
        <f t="shared" si="109"/>
        <v>765.50492756121798</v>
      </c>
      <c r="S174" s="59">
        <f ca="1">AVERAGE(OFFSET($R$3,0,0,'Données projet'!$E$9+1,1))-AVERAGE(OFFSET($H$3,0,0,'Données projet'!$E$9+1,1))</f>
        <v>253.73326067725128</v>
      </c>
      <c r="T174" s="59">
        <f t="shared" si="142"/>
        <v>317.76427047458026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8.4498859247690099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8.4498859247690099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732.99999999999966</v>
      </c>
      <c r="AJ174" s="13">
        <f>AI174*VLOOKUP('Données projet'!$B$10,Paramètres!$A$1:$I$89,3,0)*VLOOKUP('Données projet'!$B$10,Paramètres!$A$1:$I$89,5,0)</f>
        <v>352.57299999999987</v>
      </c>
      <c r="AK174" s="13">
        <f t="shared" si="164"/>
        <v>82.092092597941644</v>
      </c>
      <c r="AL174" s="20">
        <f t="shared" si="165"/>
        <v>757.04170294141477</v>
      </c>
      <c r="AM174" s="59">
        <f t="shared" si="113"/>
        <v>1050.375036274748</v>
      </c>
      <c r="AN174" s="59">
        <f ca="1">AVERAGE(OFFSET($AM$3,0,0,'Données projet'!$E$10+1,1))-AVERAGE(OFFSET($H$3,0,0,'Données projet'!$E$10+1,1))</f>
        <v>349.65790906807746</v>
      </c>
      <c r="AO174" s="59">
        <f t="shared" si="144"/>
        <v>291.88925884278888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20.866171784899681</v>
      </c>
      <c r="AV174" s="21">
        <f>EXP(-LN(2)/25)*AV173+(1-EXP(-LN(2)/25))/(LN(2)/25)*Calculateur!AQ174*Calculateur!AS174*VLOOKUP('Données projet'!$B$10,Paramètres!$A$1:$I$89,3,0)*0.475*44/12</f>
        <v>0.82608282004430211</v>
      </c>
      <c r="AW174" s="21">
        <f>EXP(-LN(2)/2)*AW173+(1-EXP(-LN(2)/2))/(LN(2)/2)*AQ174*AT174*VLOOKUP('Données projet'!$B$10,Paramètres!$A$1:$I$89,3,0)*0.475*44/12</f>
        <v>3.0579980044397911E-23</v>
      </c>
      <c r="AX174" s="21">
        <f t="shared" si="166"/>
        <v>21.692254604943983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319</v>
      </c>
      <c r="BE174" s="13">
        <f>BD174*VLOOKUP('Données projet'!$B$11,Paramètres!$A$1:$I$89,3,0)*VLOOKUP('Données projet'!$B$11,Paramètres!$A$1:$I$89,5,0)</f>
        <v>253.79640000000001</v>
      </c>
      <c r="BF174" s="13">
        <f t="shared" si="167"/>
        <v>61.39816832228076</v>
      </c>
      <c r="BG174" s="20">
        <f t="shared" si="168"/>
        <v>548.96387316130563</v>
      </c>
      <c r="BH174" s="59">
        <f t="shared" si="116"/>
        <v>842.29720649463889</v>
      </c>
      <c r="BI174" s="59">
        <f ca="1">AVERAGE(OFFSET($BH$3,0,0,'Données projet'!$E$11+1,1))-AVERAGE(OFFSET($H$3,0,0,'Données projet'!$E$11+1,1))</f>
        <v>279.49721661620544</v>
      </c>
      <c r="BJ174" s="59">
        <f t="shared" si="146"/>
        <v>275.18739333988754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8.7694887717735668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8.7694887717735668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266.99999999999983</v>
      </c>
      <c r="BZ174" s="13">
        <f>BY174*VLOOKUP('Données projet'!$B$12,Paramètres!$A$1:$I$89,3,0)*VLOOKUP('Données projet'!$B$12,Paramètres!$A$1:$I$89,5,0)</f>
        <v>258.24239999999986</v>
      </c>
      <c r="CA174" s="13">
        <f t="shared" si="170"/>
        <v>62.347580891234152</v>
      </c>
      <c r="CB174" s="20">
        <f t="shared" si="171"/>
        <v>558.3608833855659</v>
      </c>
      <c r="CC174" s="59">
        <f t="shared" si="119"/>
        <v>851.69421671889927</v>
      </c>
      <c r="CD174" s="59">
        <f ca="1">AVERAGE(OFFSET($CC$3,0,0,'Données projet'!$E$12+1,1))-AVERAGE(OFFSET($H$3,0,0,'Données projet'!$E$12+1,1))</f>
        <v>281.84871057356037</v>
      </c>
      <c r="CE174" s="59">
        <f t="shared" si="148"/>
        <v>276.02211904126887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7.0581925078486032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7.0581925078486032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319</v>
      </c>
      <c r="CU174" s="17">
        <f>CT174*VLOOKUP('Données projet'!$B$13,Paramètres!$A$1:$I$89,3,0)*VLOOKUP('Données projet'!$B$13,Paramètres!$A$1:$I$89,5,0)</f>
        <v>253.79640000000001</v>
      </c>
      <c r="CV174" s="13">
        <f t="shared" si="173"/>
        <v>61.39816832228076</v>
      </c>
      <c r="CW174" s="20">
        <f t="shared" si="174"/>
        <v>548.96387316130563</v>
      </c>
      <c r="CX174" s="59">
        <f t="shared" si="122"/>
        <v>842.29720649463889</v>
      </c>
      <c r="CY174" s="59">
        <f ca="1">AVERAGE(OFFSET($CX$3,0,0,'Données projet'!$E$13+1,1))-AVERAGE(OFFSET($H$3,0,0,'Données projet'!$E$13+1,1))</f>
        <v>279.49721661620544</v>
      </c>
      <c r="CZ174" s="59">
        <f t="shared" si="150"/>
        <v>275.18739333988754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8.7694887717735668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8.7694887717735668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267</v>
      </c>
      <c r="DP174" s="17">
        <f>DO174*VLOOKUP('Données projet'!$B$14,Paramètres!$A$1:$I$89,3,0)*VLOOKUP('Données projet'!$B$14,Paramètres!$A$1:$I$89,5,0)</f>
        <v>270.738</v>
      </c>
      <c r="DQ174" s="13">
        <f t="shared" si="176"/>
        <v>65.005866623551711</v>
      </c>
      <c r="DR174" s="20">
        <f t="shared" si="177"/>
        <v>584.7539010360191</v>
      </c>
      <c r="DS174" s="59">
        <f t="shared" si="125"/>
        <v>878.08723436935247</v>
      </c>
      <c r="DT174" s="59">
        <f ca="1">AVERAGE(OFFSET($DS$3,0,0,'Données projet'!$E$14+1,1))-AVERAGE(OFFSET($H$3,0,0,'Données projet'!$E$14+1,1))</f>
        <v>308.80022073574963</v>
      </c>
      <c r="DU174" s="59">
        <f t="shared" si="152"/>
        <v>183.96267407004115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27.94353448876252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27.94353448876252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266.99999999999983</v>
      </c>
      <c r="EK174" s="17">
        <f>EJ174*VLOOKUP('Données projet'!$B$15,Paramètres!$A$1:$I$89,3,0)*VLOOKUP('Données projet'!$B$15,Paramètres!$A$1:$I$89,5,0)</f>
        <v>174.93839999999989</v>
      </c>
      <c r="EL174" s="13">
        <f t="shared" si="179"/>
        <v>44.194210865203175</v>
      </c>
      <c r="EM174" s="20">
        <f t="shared" si="180"/>
        <v>381.65596392356196</v>
      </c>
      <c r="EN174" s="59">
        <f t="shared" si="128"/>
        <v>674.98929725689527</v>
      </c>
      <c r="EO174" s="59">
        <f ca="1">AVERAGE(OFFSET($EN$3,0,0,'Données projet'!$E$15+1,1))-AVERAGE(OFFSET($H$3,0,0,'Données projet'!$E$15+1,1))</f>
        <v>178.71569711875242</v>
      </c>
      <c r="EP174" s="59">
        <f t="shared" si="154"/>
        <v>178.13848582064168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4.7813562149942106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4.7813562149942106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267</v>
      </c>
      <c r="FF174" s="17">
        <f>FE174*VLOOKUP('Données projet'!$B$16,Paramètres!$A$1:$I$89,3,0)*VLOOKUP('Données projet'!$B$16,Paramètres!$A$1:$I$89,5,0)</f>
        <v>224.92080000000001</v>
      </c>
      <c r="FG174" s="13">
        <f t="shared" si="182"/>
        <v>55.1830164775604</v>
      </c>
      <c r="FH174" s="20">
        <f t="shared" si="183"/>
        <v>487.84748036508444</v>
      </c>
      <c r="FI174" s="59">
        <f t="shared" si="131"/>
        <v>781.18081369841775</v>
      </c>
      <c r="FJ174" s="59">
        <f ca="1">AVERAGE(OFFSET($FI$3,0,0,'Données projet'!$E$16+1,1))-AVERAGE(OFFSET($H$3,0,0,'Données projet'!$E$16+1,1))</f>
        <v>247.22536892257716</v>
      </c>
      <c r="FK174" s="59">
        <f t="shared" si="156"/>
        <v>147.97952262756075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23.214628652202737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23.214628652202737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6">
        <f t="shared" si="110"/>
        <v>477.14162502539943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249.0000000000002</v>
      </c>
      <c r="O175" s="13">
        <f>N175*VLOOKUP('Données projet'!$B$9,Paramètres!$A$1:$I$89,3,0)*VLOOKUP('Données projet'!$B$9,Paramètres!$A$1:$I$89,5,0)</f>
        <v>217.52640000000019</v>
      </c>
      <c r="P175" s="13">
        <f t="shared" si="141"/>
        <v>53.576907690651304</v>
      </c>
      <c r="Q175" s="20">
        <f t="shared" si="162"/>
        <v>472.17159422788467</v>
      </c>
      <c r="R175" s="59">
        <f t="shared" si="109"/>
        <v>765.50492756121798</v>
      </c>
      <c r="S175" s="59">
        <f ca="1">AVERAGE(OFFSET($R$3,0,0,'Données projet'!$E$9+1,1))-AVERAGE(OFFSET($H$3,0,0,'Données projet'!$E$9+1,1))</f>
        <v>253.73326067725128</v>
      </c>
      <c r="T175" s="59">
        <f t="shared" si="142"/>
        <v>317.76427047458026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8.2841888157057966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8.2841888157057966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732.99999999999966</v>
      </c>
      <c r="AJ175" s="13">
        <f>AI175*VLOOKUP('Données projet'!$B$10,Paramètres!$A$1:$I$89,3,0)*VLOOKUP('Données projet'!$B$10,Paramètres!$A$1:$I$89,5,0)</f>
        <v>352.57299999999987</v>
      </c>
      <c r="AK175" s="13">
        <f t="shared" si="164"/>
        <v>82.092092597941644</v>
      </c>
      <c r="AL175" s="20">
        <f t="shared" si="165"/>
        <v>757.04170294141477</v>
      </c>
      <c r="AM175" s="59">
        <f t="shared" si="113"/>
        <v>1050.375036274748</v>
      </c>
      <c r="AN175" s="59">
        <f ca="1">AVERAGE(OFFSET($AM$3,0,0,'Données projet'!$E$10+1,1))-AVERAGE(OFFSET($H$3,0,0,'Données projet'!$E$10+1,1))</f>
        <v>349.65790906807746</v>
      </c>
      <c r="AO175" s="59">
        <f t="shared" si="144"/>
        <v>291.88925884278888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20.456998883305889</v>
      </c>
      <c r="AV175" s="21">
        <f>EXP(-LN(2)/25)*AV174+(1-EXP(-LN(2)/25))/(LN(2)/25)*Calculateur!AQ175*Calculateur!AS175*VLOOKUP('Données projet'!$B$10,Paramètres!$A$1:$I$89,3,0)*0.475*44/12</f>
        <v>0.80349354188838318</v>
      </c>
      <c r="AW175" s="21">
        <f>EXP(-LN(2)/2)*AW174+(1-EXP(-LN(2)/2))/(LN(2)/2)*AQ175*AT175*VLOOKUP('Données projet'!$B$10,Paramètres!$A$1:$I$89,3,0)*0.475*44/12</f>
        <v>2.1623311257943064E-23</v>
      </c>
      <c r="AX175" s="21">
        <f t="shared" si="166"/>
        <v>21.260492425194272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319</v>
      </c>
      <c r="BE175" s="13">
        <f>BD175*VLOOKUP('Données projet'!$B$11,Paramètres!$A$1:$I$89,3,0)*VLOOKUP('Données projet'!$B$11,Paramètres!$A$1:$I$89,5,0)</f>
        <v>253.79640000000001</v>
      </c>
      <c r="BF175" s="13">
        <f t="shared" si="167"/>
        <v>61.39816832228076</v>
      </c>
      <c r="BG175" s="20">
        <f t="shared" si="168"/>
        <v>548.96387316130563</v>
      </c>
      <c r="BH175" s="59">
        <f t="shared" si="116"/>
        <v>842.29720649463889</v>
      </c>
      <c r="BI175" s="59">
        <f ca="1">AVERAGE(OFFSET($BH$3,0,0,'Données projet'!$E$11+1,1))-AVERAGE(OFFSET($H$3,0,0,'Données projet'!$E$11+1,1))</f>
        <v>279.49721661620544</v>
      </c>
      <c r="BJ175" s="59">
        <f t="shared" si="146"/>
        <v>275.18739333988754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8.5975244458190812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8.5975244458190812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266.99999999999983</v>
      </c>
      <c r="BZ175" s="13">
        <f>BY175*VLOOKUP('Données projet'!$B$12,Paramètres!$A$1:$I$89,3,0)*VLOOKUP('Données projet'!$B$12,Paramètres!$A$1:$I$89,5,0)</f>
        <v>258.24239999999986</v>
      </c>
      <c r="CA175" s="13">
        <f t="shared" si="170"/>
        <v>62.347580891234152</v>
      </c>
      <c r="CB175" s="20">
        <f t="shared" si="171"/>
        <v>558.3608833855659</v>
      </c>
      <c r="CC175" s="59">
        <f t="shared" si="119"/>
        <v>851.69421671889927</v>
      </c>
      <c r="CD175" s="59">
        <f ca="1">AVERAGE(OFFSET($CC$3,0,0,'Données projet'!$E$12+1,1))-AVERAGE(OFFSET($H$3,0,0,'Données projet'!$E$12+1,1))</f>
        <v>281.84871057356037</v>
      </c>
      <c r="CE175" s="59">
        <f t="shared" si="148"/>
        <v>276.02211904126887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6.9197856578420316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6.9197856578420316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319</v>
      </c>
      <c r="CU175" s="17">
        <f>CT175*VLOOKUP('Données projet'!$B$13,Paramètres!$A$1:$I$89,3,0)*VLOOKUP('Données projet'!$B$13,Paramètres!$A$1:$I$89,5,0)</f>
        <v>253.79640000000001</v>
      </c>
      <c r="CV175" s="13">
        <f t="shared" si="173"/>
        <v>61.39816832228076</v>
      </c>
      <c r="CW175" s="20">
        <f t="shared" si="174"/>
        <v>548.96387316130563</v>
      </c>
      <c r="CX175" s="59">
        <f t="shared" si="122"/>
        <v>842.29720649463889</v>
      </c>
      <c r="CY175" s="59">
        <f ca="1">AVERAGE(OFFSET($CX$3,0,0,'Données projet'!$E$13+1,1))-AVERAGE(OFFSET($H$3,0,0,'Données projet'!$E$13+1,1))</f>
        <v>279.49721661620544</v>
      </c>
      <c r="CZ175" s="59">
        <f t="shared" si="150"/>
        <v>275.18739333988754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8.5975244458190812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8.5975244458190812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267</v>
      </c>
      <c r="DP175" s="17">
        <f>DO175*VLOOKUP('Données projet'!$B$14,Paramètres!$A$1:$I$89,3,0)*VLOOKUP('Données projet'!$B$14,Paramètres!$A$1:$I$89,5,0)</f>
        <v>270.738</v>
      </c>
      <c r="DQ175" s="13">
        <f t="shared" si="176"/>
        <v>65.005866623551711</v>
      </c>
      <c r="DR175" s="20">
        <f t="shared" si="177"/>
        <v>584.7539010360191</v>
      </c>
      <c r="DS175" s="59">
        <f t="shared" si="125"/>
        <v>878.08723436935247</v>
      </c>
      <c r="DT175" s="59">
        <f ca="1">AVERAGE(OFFSET($DS$3,0,0,'Données projet'!$E$14+1,1))-AVERAGE(OFFSET($H$3,0,0,'Données projet'!$E$14+1,1))</f>
        <v>308.80022073574963</v>
      </c>
      <c r="DU175" s="59">
        <f t="shared" si="152"/>
        <v>183.96267407004115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27.395578821310984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27.395578821310984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266.99999999999983</v>
      </c>
      <c r="EK175" s="17">
        <f>EJ175*VLOOKUP('Données projet'!$B$15,Paramètres!$A$1:$I$89,3,0)*VLOOKUP('Données projet'!$B$15,Paramètres!$A$1:$I$89,5,0)</f>
        <v>174.93839999999989</v>
      </c>
      <c r="EL175" s="13">
        <f t="shared" si="179"/>
        <v>44.194210865203175</v>
      </c>
      <c r="EM175" s="20">
        <f t="shared" si="180"/>
        <v>381.65596392356196</v>
      </c>
      <c r="EN175" s="59">
        <f t="shared" si="128"/>
        <v>674.98929725689527</v>
      </c>
      <c r="EO175" s="59">
        <f ca="1">AVERAGE(OFFSET($EN$3,0,0,'Données projet'!$E$15+1,1))-AVERAGE(OFFSET($H$3,0,0,'Données projet'!$E$15+1,1))</f>
        <v>178.71569711875242</v>
      </c>
      <c r="EP175" s="59">
        <f t="shared" si="154"/>
        <v>178.13848582064168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4.6875967359575004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4.6875967359575004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267</v>
      </c>
      <c r="FF175" s="17">
        <f>FE175*VLOOKUP('Données projet'!$B$16,Paramètres!$A$1:$I$89,3,0)*VLOOKUP('Données projet'!$B$16,Paramètres!$A$1:$I$89,5,0)</f>
        <v>224.92080000000001</v>
      </c>
      <c r="FG175" s="13">
        <f t="shared" si="182"/>
        <v>55.1830164775604</v>
      </c>
      <c r="FH175" s="20">
        <f t="shared" si="183"/>
        <v>487.84748036508444</v>
      </c>
      <c r="FI175" s="59">
        <f t="shared" si="131"/>
        <v>781.18081369841775</v>
      </c>
      <c r="FJ175" s="59">
        <f ca="1">AVERAGE(OFFSET($FI$3,0,0,'Données projet'!$E$16+1,1))-AVERAGE(OFFSET($H$3,0,0,'Données projet'!$E$16+1,1))</f>
        <v>247.22536892257716</v>
      </c>
      <c r="FK175" s="59">
        <f t="shared" si="156"/>
        <v>147.97952262756075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22.759403943858384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22.759403943858384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6">
        <f t="shared" si="110"/>
        <v>478.18333093112028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249.0000000000002</v>
      </c>
      <c r="O176" s="13">
        <f>N176*VLOOKUP('Données projet'!$B$9,Paramètres!$A$1:$I$89,3,0)*VLOOKUP('Données projet'!$B$9,Paramètres!$A$1:$I$89,5,0)</f>
        <v>217.52640000000019</v>
      </c>
      <c r="P176" s="13">
        <f t="shared" si="141"/>
        <v>53.576907690651304</v>
      </c>
      <c r="Q176" s="20">
        <f t="shared" si="162"/>
        <v>472.17159422788467</v>
      </c>
      <c r="R176" s="59">
        <f t="shared" si="109"/>
        <v>765.50492756121798</v>
      </c>
      <c r="S176" s="59">
        <f ca="1">AVERAGE(OFFSET($R$3,0,0,'Données projet'!$E$9+1,1))-AVERAGE(OFFSET($H$3,0,0,'Données projet'!$E$9+1,1))</f>
        <v>253.73326067725128</v>
      </c>
      <c r="T176" s="59">
        <f t="shared" si="142"/>
        <v>317.76427047458026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8.1217409258860549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8.1217409258860549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732.99999999999966</v>
      </c>
      <c r="AJ176" s="13">
        <f>AI176*VLOOKUP('Données projet'!$B$10,Paramètres!$A$1:$I$89,3,0)*VLOOKUP('Données projet'!$B$10,Paramètres!$A$1:$I$89,5,0)</f>
        <v>352.57299999999987</v>
      </c>
      <c r="AK176" s="13">
        <f t="shared" si="164"/>
        <v>82.092092597941644</v>
      </c>
      <c r="AL176" s="20">
        <f t="shared" si="165"/>
        <v>757.04170294141477</v>
      </c>
      <c r="AM176" s="59">
        <f t="shared" si="113"/>
        <v>1050.375036274748</v>
      </c>
      <c r="AN176" s="59">
        <f ca="1">AVERAGE(OFFSET($AM$3,0,0,'Données projet'!$E$10+1,1))-AVERAGE(OFFSET($H$3,0,0,'Données projet'!$E$10+1,1))</f>
        <v>349.65790906807746</v>
      </c>
      <c r="AO176" s="59">
        <f t="shared" si="144"/>
        <v>291.88925884278888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20.055849612741525</v>
      </c>
      <c r="AV176" s="21">
        <f>EXP(-LN(2)/25)*AV175+(1-EXP(-LN(2)/25))/(LN(2)/25)*Calculateur!AQ176*Calculateur!AS176*VLOOKUP('Données projet'!$B$10,Paramètres!$A$1:$I$89,3,0)*0.475*44/12</f>
        <v>0.78152196873155633</v>
      </c>
      <c r="AW176" s="21">
        <f>EXP(-LN(2)/2)*AW175+(1-EXP(-LN(2)/2))/(LN(2)/2)*AQ176*AT176*VLOOKUP('Données projet'!$B$10,Paramètres!$A$1:$I$89,3,0)*0.475*44/12</f>
        <v>1.5289990022198955E-23</v>
      </c>
      <c r="AX176" s="21">
        <f t="shared" si="166"/>
        <v>20.837371581473082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319</v>
      </c>
      <c r="BE176" s="13">
        <f>BD176*VLOOKUP('Données projet'!$B$11,Paramètres!$A$1:$I$89,3,0)*VLOOKUP('Données projet'!$B$11,Paramètres!$A$1:$I$89,5,0)</f>
        <v>253.79640000000001</v>
      </c>
      <c r="BF176" s="13">
        <f t="shared" si="167"/>
        <v>61.39816832228076</v>
      </c>
      <c r="BG176" s="20">
        <f t="shared" si="168"/>
        <v>548.96387316130563</v>
      </c>
      <c r="BH176" s="59">
        <f t="shared" si="116"/>
        <v>842.29720649463889</v>
      </c>
      <c r="BI176" s="59">
        <f ca="1">AVERAGE(OFFSET($BH$3,0,0,'Données projet'!$E$11+1,1))-AVERAGE(OFFSET($H$3,0,0,'Données projet'!$E$11+1,1))</f>
        <v>279.49721661620544</v>
      </c>
      <c r="BJ176" s="59">
        <f t="shared" si="146"/>
        <v>275.18739333988754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8.4289322354086824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8.4289322354086824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266.99999999999983</v>
      </c>
      <c r="BZ176" s="13">
        <f>BY176*VLOOKUP('Données projet'!$B$12,Paramètres!$A$1:$I$89,3,0)*VLOOKUP('Données projet'!$B$12,Paramètres!$A$1:$I$89,5,0)</f>
        <v>258.24239999999986</v>
      </c>
      <c r="CA176" s="13">
        <f t="shared" si="170"/>
        <v>62.347580891234152</v>
      </c>
      <c r="CB176" s="20">
        <f t="shared" si="171"/>
        <v>558.3608833855659</v>
      </c>
      <c r="CC176" s="59">
        <f t="shared" si="119"/>
        <v>851.69421671889927</v>
      </c>
      <c r="CD176" s="59">
        <f ca="1">AVERAGE(OFFSET($CC$3,0,0,'Données projet'!$E$12+1,1))-AVERAGE(OFFSET($H$3,0,0,'Données projet'!$E$12+1,1))</f>
        <v>281.84871057356037</v>
      </c>
      <c r="CE176" s="59">
        <f t="shared" si="148"/>
        <v>276.02211904126887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6.7840928817442459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6.7840928817442459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319</v>
      </c>
      <c r="CU176" s="17">
        <f>CT176*VLOOKUP('Données projet'!$B$13,Paramètres!$A$1:$I$89,3,0)*VLOOKUP('Données projet'!$B$13,Paramètres!$A$1:$I$89,5,0)</f>
        <v>253.79640000000001</v>
      </c>
      <c r="CV176" s="13">
        <f t="shared" si="173"/>
        <v>61.39816832228076</v>
      </c>
      <c r="CW176" s="20">
        <f t="shared" si="174"/>
        <v>548.96387316130563</v>
      </c>
      <c r="CX176" s="59">
        <f t="shared" si="122"/>
        <v>842.29720649463889</v>
      </c>
      <c r="CY176" s="59">
        <f ca="1">AVERAGE(OFFSET($CX$3,0,0,'Données projet'!$E$13+1,1))-AVERAGE(OFFSET($H$3,0,0,'Données projet'!$E$13+1,1))</f>
        <v>279.49721661620544</v>
      </c>
      <c r="CZ176" s="59">
        <f t="shared" si="150"/>
        <v>275.18739333988754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8.4289322354086824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8.4289322354086824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267</v>
      </c>
      <c r="DP176" s="17">
        <f>DO176*VLOOKUP('Données projet'!$B$14,Paramètres!$A$1:$I$89,3,0)*VLOOKUP('Données projet'!$B$14,Paramètres!$A$1:$I$89,5,0)</f>
        <v>270.738</v>
      </c>
      <c r="DQ176" s="13">
        <f t="shared" si="176"/>
        <v>65.005866623551711</v>
      </c>
      <c r="DR176" s="20">
        <f t="shared" si="177"/>
        <v>584.7539010360191</v>
      </c>
      <c r="DS176" s="59">
        <f t="shared" si="125"/>
        <v>878.08723436935247</v>
      </c>
      <c r="DT176" s="59">
        <f ca="1">AVERAGE(OFFSET($DS$3,0,0,'Données projet'!$E$14+1,1))-AVERAGE(OFFSET($H$3,0,0,'Données projet'!$E$14+1,1))</f>
        <v>308.80022073574963</v>
      </c>
      <c r="DU176" s="59">
        <f t="shared" si="152"/>
        <v>183.96267407004115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26.858368230278217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26.858368230278217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266.99999999999983</v>
      </c>
      <c r="EK176" s="17">
        <f>EJ176*VLOOKUP('Données projet'!$B$15,Paramètres!$A$1:$I$89,3,0)*VLOOKUP('Données projet'!$B$15,Paramètres!$A$1:$I$89,5,0)</f>
        <v>174.93839999999989</v>
      </c>
      <c r="EL176" s="13">
        <f t="shared" si="179"/>
        <v>44.194210865203175</v>
      </c>
      <c r="EM176" s="20">
        <f t="shared" si="180"/>
        <v>381.65596392356196</v>
      </c>
      <c r="EN176" s="59">
        <f t="shared" si="128"/>
        <v>674.98929725689527</v>
      </c>
      <c r="EO176" s="59">
        <f ca="1">AVERAGE(OFFSET($EN$3,0,0,'Données projet'!$E$15+1,1))-AVERAGE(OFFSET($H$3,0,0,'Données projet'!$E$15+1,1))</f>
        <v>178.71569711875242</v>
      </c>
      <c r="EP176" s="59">
        <f t="shared" si="154"/>
        <v>178.13848582064168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4.5956758231170651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4.5956758231170651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267</v>
      </c>
      <c r="FF176" s="17">
        <f>FE176*VLOOKUP('Données projet'!$B$16,Paramètres!$A$1:$I$89,3,0)*VLOOKUP('Données projet'!$B$16,Paramètres!$A$1:$I$89,5,0)</f>
        <v>224.92080000000001</v>
      </c>
      <c r="FG176" s="13">
        <f t="shared" si="182"/>
        <v>55.1830164775604</v>
      </c>
      <c r="FH176" s="20">
        <f t="shared" si="183"/>
        <v>487.84748036508444</v>
      </c>
      <c r="FI176" s="59">
        <f t="shared" si="131"/>
        <v>781.18081369841775</v>
      </c>
      <c r="FJ176" s="59">
        <f ca="1">AVERAGE(OFFSET($FI$3,0,0,'Données projet'!$E$16+1,1))-AVERAGE(OFFSET($H$3,0,0,'Données projet'!$E$16+1,1))</f>
        <v>247.22536892257716</v>
      </c>
      <c r="FK176" s="59">
        <f t="shared" si="156"/>
        <v>147.97952262756075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22.313105914385005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22.313105914385005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6">
        <f t="shared" si="110"/>
        <v>479.224899648448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249.0000000000002</v>
      </c>
      <c r="O177" s="13">
        <f>N177*VLOOKUP('Données projet'!$B$9,Paramètres!$A$1:$I$89,3,0)*VLOOKUP('Données projet'!$B$9,Paramètres!$A$1:$I$89,5,0)</f>
        <v>217.52640000000019</v>
      </c>
      <c r="P177" s="13">
        <f t="shared" si="141"/>
        <v>53.576907690651304</v>
      </c>
      <c r="Q177" s="20">
        <f t="shared" si="162"/>
        <v>472.17159422788467</v>
      </c>
      <c r="R177" s="59">
        <f t="shared" si="109"/>
        <v>765.50492756121798</v>
      </c>
      <c r="S177" s="59">
        <f ca="1">AVERAGE(OFFSET($R$3,0,0,'Données projet'!$E$9+1,1))-AVERAGE(OFFSET($H$3,0,0,'Données projet'!$E$9+1,1))</f>
        <v>253.73326067725128</v>
      </c>
      <c r="T177" s="59">
        <f t="shared" si="142"/>
        <v>317.76427047458026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7.96247854010225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7.96247854010225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732.99999999999966</v>
      </c>
      <c r="AJ177" s="13">
        <f>AI177*VLOOKUP('Données projet'!$B$10,Paramètres!$A$1:$I$89,3,0)*VLOOKUP('Données projet'!$B$10,Paramètres!$A$1:$I$89,5,0)</f>
        <v>352.57299999999987</v>
      </c>
      <c r="AK177" s="13">
        <f t="shared" si="164"/>
        <v>82.092092597941644</v>
      </c>
      <c r="AL177" s="20">
        <f t="shared" si="165"/>
        <v>757.04170294141477</v>
      </c>
      <c r="AM177" s="59">
        <f t="shared" si="113"/>
        <v>1050.375036274748</v>
      </c>
      <c r="AN177" s="59">
        <f ca="1">AVERAGE(OFFSET($AM$3,0,0,'Données projet'!$E$10+1,1))-AVERAGE(OFFSET($H$3,0,0,'Données projet'!$E$10+1,1))</f>
        <v>349.65790906807746</v>
      </c>
      <c r="AO177" s="59">
        <f t="shared" si="144"/>
        <v>291.88925884278888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19.662566634696034</v>
      </c>
      <c r="AV177" s="21">
        <f>EXP(-LN(2)/25)*AV176+(1-EXP(-LN(2)/25))/(LN(2)/25)*Calculateur!AQ177*Calculateur!AS177*VLOOKUP('Données projet'!$B$10,Paramètres!$A$1:$I$89,3,0)*0.475*44/12</f>
        <v>0.76015120939813774</v>
      </c>
      <c r="AW177" s="21">
        <f>EXP(-LN(2)/2)*AW176+(1-EXP(-LN(2)/2))/(LN(2)/2)*AQ177*AT177*VLOOKUP('Données projet'!$B$10,Paramètres!$A$1:$I$89,3,0)*0.475*44/12</f>
        <v>1.0811655628971532E-23</v>
      </c>
      <c r="AX177" s="21">
        <f t="shared" si="166"/>
        <v>20.422717844094173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319</v>
      </c>
      <c r="BE177" s="13">
        <f>BD177*VLOOKUP('Données projet'!$B$11,Paramètres!$A$1:$I$89,3,0)*VLOOKUP('Données projet'!$B$11,Paramètres!$A$1:$I$89,5,0)</f>
        <v>253.79640000000001</v>
      </c>
      <c r="BF177" s="13">
        <f t="shared" si="167"/>
        <v>61.39816832228076</v>
      </c>
      <c r="BG177" s="20">
        <f t="shared" si="168"/>
        <v>548.96387316130563</v>
      </c>
      <c r="BH177" s="59">
        <f t="shared" si="116"/>
        <v>842.29720649463889</v>
      </c>
      <c r="BI177" s="59">
        <f ca="1">AVERAGE(OFFSET($BH$3,0,0,'Données projet'!$E$11+1,1))-AVERAGE(OFFSET($H$3,0,0,'Données projet'!$E$11+1,1))</f>
        <v>279.49721661620544</v>
      </c>
      <c r="BJ177" s="59">
        <f t="shared" si="146"/>
        <v>275.18739333988754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8.263646015413336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8.263646015413336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266.99999999999983</v>
      </c>
      <c r="BZ177" s="13">
        <f>BY177*VLOOKUP('Données projet'!$B$12,Paramètres!$A$1:$I$89,3,0)*VLOOKUP('Données projet'!$B$12,Paramètres!$A$1:$I$89,5,0)</f>
        <v>258.24239999999986</v>
      </c>
      <c r="CA177" s="13">
        <f t="shared" si="170"/>
        <v>62.347580891234152</v>
      </c>
      <c r="CB177" s="20">
        <f t="shared" si="171"/>
        <v>558.3608833855659</v>
      </c>
      <c r="CC177" s="59">
        <f t="shared" si="119"/>
        <v>851.69421671889927</v>
      </c>
      <c r="CD177" s="59">
        <f ca="1">AVERAGE(OFFSET($CC$3,0,0,'Données projet'!$E$12+1,1))-AVERAGE(OFFSET($H$3,0,0,'Données projet'!$E$12+1,1))</f>
        <v>281.84871057356037</v>
      </c>
      <c r="CE177" s="59">
        <f t="shared" si="148"/>
        <v>276.02211904126887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6.6510609582213167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6.6510609582213167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319</v>
      </c>
      <c r="CU177" s="17">
        <f>CT177*VLOOKUP('Données projet'!$B$13,Paramètres!$A$1:$I$89,3,0)*VLOOKUP('Données projet'!$B$13,Paramètres!$A$1:$I$89,5,0)</f>
        <v>253.79640000000001</v>
      </c>
      <c r="CV177" s="13">
        <f t="shared" si="173"/>
        <v>61.39816832228076</v>
      </c>
      <c r="CW177" s="20">
        <f t="shared" si="174"/>
        <v>548.96387316130563</v>
      </c>
      <c r="CX177" s="59">
        <f t="shared" si="122"/>
        <v>842.29720649463889</v>
      </c>
      <c r="CY177" s="59">
        <f ca="1">AVERAGE(OFFSET($CX$3,0,0,'Données projet'!$E$13+1,1))-AVERAGE(OFFSET($H$3,0,0,'Données projet'!$E$13+1,1))</f>
        <v>279.49721661620544</v>
      </c>
      <c r="CZ177" s="59">
        <f t="shared" si="150"/>
        <v>275.18739333988754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8.263646015413336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8.263646015413336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267</v>
      </c>
      <c r="DP177" s="17">
        <f>DO177*VLOOKUP('Données projet'!$B$14,Paramètres!$A$1:$I$89,3,0)*VLOOKUP('Données projet'!$B$14,Paramètres!$A$1:$I$89,5,0)</f>
        <v>270.738</v>
      </c>
      <c r="DQ177" s="13">
        <f t="shared" si="176"/>
        <v>65.005866623551711</v>
      </c>
      <c r="DR177" s="20">
        <f t="shared" si="177"/>
        <v>584.7539010360191</v>
      </c>
      <c r="DS177" s="59">
        <f t="shared" si="125"/>
        <v>878.08723436935247</v>
      </c>
      <c r="DT177" s="59">
        <f ca="1">AVERAGE(OFFSET($DS$3,0,0,'Données projet'!$E$14+1,1))-AVERAGE(OFFSET($H$3,0,0,'Données projet'!$E$14+1,1))</f>
        <v>308.80022073574963</v>
      </c>
      <c r="DU177" s="59">
        <f t="shared" si="152"/>
        <v>183.96267407004115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26.331692011269496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26.331692011269496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266.99999999999983</v>
      </c>
      <c r="EK177" s="17">
        <f>EJ177*VLOOKUP('Données projet'!$B$15,Paramètres!$A$1:$I$89,3,0)*VLOOKUP('Données projet'!$B$15,Paramètres!$A$1:$I$89,5,0)</f>
        <v>174.93839999999989</v>
      </c>
      <c r="EL177" s="13">
        <f t="shared" si="179"/>
        <v>44.194210865203175</v>
      </c>
      <c r="EM177" s="20">
        <f t="shared" si="180"/>
        <v>381.65596392356196</v>
      </c>
      <c r="EN177" s="59">
        <f t="shared" si="128"/>
        <v>674.98929725689527</v>
      </c>
      <c r="EO177" s="59">
        <f ca="1">AVERAGE(OFFSET($EN$3,0,0,'Données projet'!$E$15+1,1))-AVERAGE(OFFSET($H$3,0,0,'Données projet'!$E$15+1,1))</f>
        <v>178.71569711875242</v>
      </c>
      <c r="EP177" s="59">
        <f t="shared" si="154"/>
        <v>178.13848582064168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4.5055574233112097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4.5055574233112097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267</v>
      </c>
      <c r="FF177" s="17">
        <f>FE177*VLOOKUP('Données projet'!$B$16,Paramètres!$A$1:$I$89,3,0)*VLOOKUP('Données projet'!$B$16,Paramètres!$A$1:$I$89,5,0)</f>
        <v>224.92080000000001</v>
      </c>
      <c r="FG177" s="13">
        <f t="shared" si="182"/>
        <v>55.1830164775604</v>
      </c>
      <c r="FH177" s="20">
        <f t="shared" si="183"/>
        <v>487.84748036508444</v>
      </c>
      <c r="FI177" s="59">
        <f t="shared" si="131"/>
        <v>781.18081369841775</v>
      </c>
      <c r="FJ177" s="59">
        <f ca="1">AVERAGE(OFFSET($FI$3,0,0,'Données projet'!$E$16+1,1))-AVERAGE(OFFSET($H$3,0,0,'Données projet'!$E$16+1,1))</f>
        <v>247.22536892257716</v>
      </c>
      <c r="FK177" s="59">
        <f t="shared" si="156"/>
        <v>147.97952262756075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21.875559517054683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21.875559517054683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6">
        <f t="shared" si="110"/>
        <v>480.26633205731122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249.0000000000002</v>
      </c>
      <c r="O178" s="13">
        <f>N178*VLOOKUP('Données projet'!$B$9,Paramètres!$A$1:$I$89,3,0)*VLOOKUP('Données projet'!$B$9,Paramètres!$A$1:$I$89,5,0)</f>
        <v>217.52640000000019</v>
      </c>
      <c r="P178" s="13">
        <f t="shared" si="141"/>
        <v>53.576907690651304</v>
      </c>
      <c r="Q178" s="20">
        <f t="shared" si="162"/>
        <v>472.17159422788467</v>
      </c>
      <c r="R178" s="59">
        <f t="shared" si="109"/>
        <v>765.50492756121798</v>
      </c>
      <c r="S178" s="59">
        <f ca="1">AVERAGE(OFFSET($R$3,0,0,'Données projet'!$E$9+1,1))-AVERAGE(OFFSET($H$3,0,0,'Données projet'!$E$9+1,1))</f>
        <v>253.73326067725128</v>
      </c>
      <c r="T178" s="59">
        <f t="shared" si="142"/>
        <v>317.76427047458026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7.8063391925632013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7.8063391925632013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732.99999999999966</v>
      </c>
      <c r="AJ178" s="13">
        <f>AI178*VLOOKUP('Données projet'!$B$10,Paramètres!$A$1:$I$89,3,0)*VLOOKUP('Données projet'!$B$10,Paramètres!$A$1:$I$89,5,0)</f>
        <v>352.57299999999987</v>
      </c>
      <c r="AK178" s="13">
        <f t="shared" si="164"/>
        <v>82.092092597941644</v>
      </c>
      <c r="AL178" s="20">
        <f t="shared" si="165"/>
        <v>757.04170294141477</v>
      </c>
      <c r="AM178" s="59">
        <f t="shared" si="113"/>
        <v>1050.375036274748</v>
      </c>
      <c r="AN178" s="59">
        <f ca="1">AVERAGE(OFFSET($AM$3,0,0,'Données projet'!$E$10+1,1))-AVERAGE(OFFSET($H$3,0,0,'Données projet'!$E$10+1,1))</f>
        <v>349.65790906807746</v>
      </c>
      <c r="AO178" s="59">
        <f t="shared" si="144"/>
        <v>291.88925884278888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19.276995695971085</v>
      </c>
      <c r="AV178" s="21">
        <f>EXP(-LN(2)/25)*AV177+(1-EXP(-LN(2)/25))/(LN(2)/25)*Calculateur!AQ178*Calculateur!AS178*VLOOKUP('Données projet'!$B$10,Paramètres!$A$1:$I$89,3,0)*0.475*44/12</f>
        <v>0.73936483460253088</v>
      </c>
      <c r="AW178" s="21">
        <f>EXP(-LN(2)/2)*AW177+(1-EXP(-LN(2)/2))/(LN(2)/2)*AQ178*AT178*VLOOKUP('Données projet'!$B$10,Paramètres!$A$1:$I$89,3,0)*0.475*44/12</f>
        <v>7.6449950110994777E-24</v>
      </c>
      <c r="AX178" s="21">
        <f t="shared" si="166"/>
        <v>20.016360530573614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319</v>
      </c>
      <c r="BE178" s="13">
        <f>BD178*VLOOKUP('Données projet'!$B$11,Paramètres!$A$1:$I$89,3,0)*VLOOKUP('Données projet'!$B$11,Paramètres!$A$1:$I$89,5,0)</f>
        <v>253.79640000000001</v>
      </c>
      <c r="BF178" s="13">
        <f t="shared" si="167"/>
        <v>61.39816832228076</v>
      </c>
      <c r="BG178" s="20">
        <f t="shared" si="168"/>
        <v>548.96387316130563</v>
      </c>
      <c r="BH178" s="59">
        <f t="shared" si="116"/>
        <v>842.29720649463889</v>
      </c>
      <c r="BI178" s="59">
        <f ca="1">AVERAGE(OFFSET($BH$3,0,0,'Données projet'!$E$11+1,1))-AVERAGE(OFFSET($H$3,0,0,'Données projet'!$E$11+1,1))</f>
        <v>279.49721661620544</v>
      </c>
      <c r="BJ178" s="59">
        <f t="shared" si="146"/>
        <v>275.18739333988754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8.1016009573774586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8.1016009573774586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266.99999999999983</v>
      </c>
      <c r="BZ178" s="13">
        <f>BY178*VLOOKUP('Données projet'!$B$12,Paramètres!$A$1:$I$89,3,0)*VLOOKUP('Données projet'!$B$12,Paramètres!$A$1:$I$89,5,0)</f>
        <v>258.24239999999986</v>
      </c>
      <c r="CA178" s="13">
        <f t="shared" si="170"/>
        <v>62.347580891234152</v>
      </c>
      <c r="CB178" s="20">
        <f t="shared" si="171"/>
        <v>558.3608833855659</v>
      </c>
      <c r="CC178" s="59">
        <f t="shared" si="119"/>
        <v>851.69421671889927</v>
      </c>
      <c r="CD178" s="59">
        <f ca="1">AVERAGE(OFFSET($CC$3,0,0,'Données projet'!$E$12+1,1))-AVERAGE(OFFSET($H$3,0,0,'Données projet'!$E$12+1,1))</f>
        <v>281.84871057356037</v>
      </c>
      <c r="CE178" s="59">
        <f t="shared" si="148"/>
        <v>276.02211904126887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6.520637709577211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6.520637709577211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319</v>
      </c>
      <c r="CU178" s="17">
        <f>CT178*VLOOKUP('Données projet'!$B$13,Paramètres!$A$1:$I$89,3,0)*VLOOKUP('Données projet'!$B$13,Paramètres!$A$1:$I$89,5,0)</f>
        <v>253.79640000000001</v>
      </c>
      <c r="CV178" s="13">
        <f t="shared" si="173"/>
        <v>61.39816832228076</v>
      </c>
      <c r="CW178" s="20">
        <f t="shared" si="174"/>
        <v>548.96387316130563</v>
      </c>
      <c r="CX178" s="59">
        <f t="shared" si="122"/>
        <v>842.29720649463889</v>
      </c>
      <c r="CY178" s="59">
        <f ca="1">AVERAGE(OFFSET($CX$3,0,0,'Données projet'!$E$13+1,1))-AVERAGE(OFFSET($H$3,0,0,'Données projet'!$E$13+1,1))</f>
        <v>279.49721661620544</v>
      </c>
      <c r="CZ178" s="59">
        <f t="shared" si="150"/>
        <v>275.18739333988754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8.1016009573774586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8.1016009573774586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267</v>
      </c>
      <c r="DP178" s="17">
        <f>DO178*VLOOKUP('Données projet'!$B$14,Paramètres!$A$1:$I$89,3,0)*VLOOKUP('Données projet'!$B$14,Paramètres!$A$1:$I$89,5,0)</f>
        <v>270.738</v>
      </c>
      <c r="DQ178" s="13">
        <f t="shared" si="176"/>
        <v>65.005866623551711</v>
      </c>
      <c r="DR178" s="20">
        <f t="shared" si="177"/>
        <v>584.7539010360191</v>
      </c>
      <c r="DS178" s="59">
        <f t="shared" si="125"/>
        <v>878.08723436935247</v>
      </c>
      <c r="DT178" s="59">
        <f ca="1">AVERAGE(OFFSET($DS$3,0,0,'Données projet'!$E$14+1,1))-AVERAGE(OFFSET($H$3,0,0,'Données projet'!$E$14+1,1))</f>
        <v>308.80022073574963</v>
      </c>
      <c r="DU178" s="59">
        <f t="shared" si="152"/>
        <v>183.96267407004115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25.815343591674761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25.815343591674761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266.99999999999983</v>
      </c>
      <c r="EK178" s="17">
        <f>EJ178*VLOOKUP('Données projet'!$B$15,Paramètres!$A$1:$I$89,3,0)*VLOOKUP('Données projet'!$B$15,Paramètres!$A$1:$I$89,5,0)</f>
        <v>174.93839999999989</v>
      </c>
      <c r="EL178" s="13">
        <f t="shared" si="179"/>
        <v>44.194210865203175</v>
      </c>
      <c r="EM178" s="20">
        <f t="shared" si="180"/>
        <v>381.65596392356196</v>
      </c>
      <c r="EN178" s="59">
        <f t="shared" si="128"/>
        <v>674.98929725689527</v>
      </c>
      <c r="EO178" s="59">
        <f ca="1">AVERAGE(OFFSET($EN$3,0,0,'Données projet'!$E$15+1,1))-AVERAGE(OFFSET($H$3,0,0,'Données projet'!$E$15+1,1))</f>
        <v>178.71569711875242</v>
      </c>
      <c r="EP178" s="59">
        <f t="shared" si="154"/>
        <v>178.13848582064168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4.4172061903587512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4.4172061903587512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267</v>
      </c>
      <c r="FF178" s="17">
        <f>FE178*VLOOKUP('Données projet'!$B$16,Paramètres!$A$1:$I$89,3,0)*VLOOKUP('Données projet'!$B$16,Paramètres!$A$1:$I$89,5,0)</f>
        <v>224.92080000000001</v>
      </c>
      <c r="FG178" s="13">
        <f t="shared" si="182"/>
        <v>55.1830164775604</v>
      </c>
      <c r="FH178" s="20">
        <f t="shared" si="183"/>
        <v>487.84748036508444</v>
      </c>
      <c r="FI178" s="59">
        <f t="shared" si="131"/>
        <v>781.18081369841775</v>
      </c>
      <c r="FJ178" s="59">
        <f ca="1">AVERAGE(OFFSET($FI$3,0,0,'Données projet'!$E$16+1,1))-AVERAGE(OFFSET($H$3,0,0,'Données projet'!$E$16+1,1))</f>
        <v>247.22536892257716</v>
      </c>
      <c r="FK178" s="59">
        <f t="shared" si="156"/>
        <v>147.97952262756075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21.446593137699058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21.446593137699058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6">
        <f t="shared" si="110"/>
        <v>481.3076290270003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249.0000000000002</v>
      </c>
      <c r="O179" s="13">
        <f>N179*VLOOKUP('Données projet'!$B$9,Paramètres!$A$1:$I$89,3,0)*VLOOKUP('Données projet'!$B$9,Paramètres!$A$1:$I$89,5,0)</f>
        <v>217.52640000000019</v>
      </c>
      <c r="P179" s="13">
        <f t="shared" si="141"/>
        <v>53.576907690651304</v>
      </c>
      <c r="Q179" s="20">
        <f t="shared" si="162"/>
        <v>472.17159422788467</v>
      </c>
      <c r="R179" s="59">
        <f t="shared" si="109"/>
        <v>765.50492756121798</v>
      </c>
      <c r="S179" s="59">
        <f ca="1">AVERAGE(OFFSET($R$3,0,0,'Données projet'!$E$9+1,1))-AVERAGE(OFFSET($H$3,0,0,'Données projet'!$E$9+1,1))</f>
        <v>253.73326067725128</v>
      </c>
      <c r="T179" s="59">
        <f t="shared" si="142"/>
        <v>317.76427047458026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7.6532616423937956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7.6532616423937956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732.99999999999966</v>
      </c>
      <c r="AJ179" s="13">
        <f>AI179*VLOOKUP('Données projet'!$B$10,Paramètres!$A$1:$I$89,3,0)*VLOOKUP('Données projet'!$B$10,Paramètres!$A$1:$I$89,5,0)</f>
        <v>352.57299999999987</v>
      </c>
      <c r="AK179" s="13">
        <f t="shared" si="164"/>
        <v>82.092092597941644</v>
      </c>
      <c r="AL179" s="20">
        <f t="shared" si="165"/>
        <v>757.04170294141477</v>
      </c>
      <c r="AM179" s="59">
        <f t="shared" si="113"/>
        <v>1050.375036274748</v>
      </c>
      <c r="AN179" s="59">
        <f ca="1">AVERAGE(OFFSET($AM$3,0,0,'Données projet'!$E$10+1,1))-AVERAGE(OFFSET($H$3,0,0,'Données projet'!$E$10+1,1))</f>
        <v>349.65790906807746</v>
      </c>
      <c r="AO179" s="59">
        <f t="shared" si="144"/>
        <v>291.88925884278888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18.89898556817948</v>
      </c>
      <c r="AV179" s="21">
        <f>EXP(-LN(2)/25)*AV178+(1-EXP(-LN(2)/25))/(LN(2)/25)*Calculateur!AQ179*Calculateur!AS179*VLOOKUP('Données projet'!$B$10,Paramètres!$A$1:$I$89,3,0)*0.475*44/12</f>
        <v>0.71914686431881791</v>
      </c>
      <c r="AW179" s="21">
        <f>EXP(-LN(2)/2)*AW178+(1-EXP(-LN(2)/2))/(LN(2)/2)*AQ179*AT179*VLOOKUP('Données projet'!$B$10,Paramètres!$A$1:$I$89,3,0)*0.475*44/12</f>
        <v>5.4058278144857659E-24</v>
      </c>
      <c r="AX179" s="21">
        <f t="shared" si="166"/>
        <v>19.6181324324983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319</v>
      </c>
      <c r="BE179" s="13">
        <f>BD179*VLOOKUP('Données projet'!$B$11,Paramètres!$A$1:$I$89,3,0)*VLOOKUP('Données projet'!$B$11,Paramètres!$A$1:$I$89,5,0)</f>
        <v>253.79640000000001</v>
      </c>
      <c r="BF179" s="13">
        <f t="shared" si="167"/>
        <v>61.39816832228076</v>
      </c>
      <c r="BG179" s="20">
        <f t="shared" si="168"/>
        <v>548.96387316130563</v>
      </c>
      <c r="BH179" s="59">
        <f t="shared" si="116"/>
        <v>842.29720649463889</v>
      </c>
      <c r="BI179" s="59">
        <f ca="1">AVERAGE(OFFSET($BH$3,0,0,'Données projet'!$E$11+1,1))-AVERAGE(OFFSET($H$3,0,0,'Données projet'!$E$11+1,1))</f>
        <v>279.49721661620544</v>
      </c>
      <c r="BJ179" s="59">
        <f t="shared" si="146"/>
        <v>275.18739333988754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7.9427335040919393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7.9427335040919393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266.99999999999983</v>
      </c>
      <c r="BZ179" s="13">
        <f>BY179*VLOOKUP('Données projet'!$B$12,Paramètres!$A$1:$I$89,3,0)*VLOOKUP('Données projet'!$B$12,Paramètres!$A$1:$I$89,5,0)</f>
        <v>258.24239999999986</v>
      </c>
      <c r="CA179" s="13">
        <f t="shared" si="170"/>
        <v>62.347580891234152</v>
      </c>
      <c r="CB179" s="20">
        <f t="shared" si="171"/>
        <v>558.3608833855659</v>
      </c>
      <c r="CC179" s="59">
        <f t="shared" si="119"/>
        <v>851.69421671889927</v>
      </c>
      <c r="CD179" s="59">
        <f ca="1">AVERAGE(OFFSET($CC$3,0,0,'Données projet'!$E$12+1,1))-AVERAGE(OFFSET($H$3,0,0,'Données projet'!$E$12+1,1))</f>
        <v>281.84871057356037</v>
      </c>
      <c r="CE179" s="59">
        <f t="shared" si="148"/>
        <v>276.02211904126887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6.3927719812886892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6.3927719812886892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319</v>
      </c>
      <c r="CU179" s="17">
        <f>CT179*VLOOKUP('Données projet'!$B$13,Paramètres!$A$1:$I$89,3,0)*VLOOKUP('Données projet'!$B$13,Paramètres!$A$1:$I$89,5,0)</f>
        <v>253.79640000000001</v>
      </c>
      <c r="CV179" s="13">
        <f t="shared" si="173"/>
        <v>61.39816832228076</v>
      </c>
      <c r="CW179" s="20">
        <f t="shared" si="174"/>
        <v>548.96387316130563</v>
      </c>
      <c r="CX179" s="59">
        <f t="shared" si="122"/>
        <v>842.29720649463889</v>
      </c>
      <c r="CY179" s="59">
        <f ca="1">AVERAGE(OFFSET($CX$3,0,0,'Données projet'!$E$13+1,1))-AVERAGE(OFFSET($H$3,0,0,'Données projet'!$E$13+1,1))</f>
        <v>279.49721661620544</v>
      </c>
      <c r="CZ179" s="59">
        <f t="shared" si="150"/>
        <v>275.18739333988754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7.9427335040919393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7.9427335040919393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267</v>
      </c>
      <c r="DP179" s="17">
        <f>DO179*VLOOKUP('Données projet'!$B$14,Paramètres!$A$1:$I$89,3,0)*VLOOKUP('Données projet'!$B$14,Paramètres!$A$1:$I$89,5,0)</f>
        <v>270.738</v>
      </c>
      <c r="DQ179" s="13">
        <f t="shared" si="176"/>
        <v>65.005866623551711</v>
      </c>
      <c r="DR179" s="20">
        <f t="shared" si="177"/>
        <v>584.7539010360191</v>
      </c>
      <c r="DS179" s="59">
        <f t="shared" si="125"/>
        <v>878.08723436935247</v>
      </c>
      <c r="DT179" s="59">
        <f ca="1">AVERAGE(OFFSET($DS$3,0,0,'Données projet'!$E$14+1,1))-AVERAGE(OFFSET($H$3,0,0,'Données projet'!$E$14+1,1))</f>
        <v>308.80022073574963</v>
      </c>
      <c r="DU179" s="59">
        <f t="shared" si="152"/>
        <v>183.96267407004115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25.309120449646841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25.309120449646841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266.99999999999983</v>
      </c>
      <c r="EK179" s="17">
        <f>EJ179*VLOOKUP('Données projet'!$B$15,Paramètres!$A$1:$I$89,3,0)*VLOOKUP('Données projet'!$B$15,Paramètres!$A$1:$I$89,5,0)</f>
        <v>174.93839999999989</v>
      </c>
      <c r="EL179" s="13">
        <f t="shared" si="179"/>
        <v>44.194210865203175</v>
      </c>
      <c r="EM179" s="20">
        <f t="shared" si="180"/>
        <v>381.65596392356196</v>
      </c>
      <c r="EN179" s="59">
        <f t="shared" si="128"/>
        <v>674.98929725689527</v>
      </c>
      <c r="EO179" s="59">
        <f ca="1">AVERAGE(OFFSET($EN$3,0,0,'Données projet'!$E$15+1,1))-AVERAGE(OFFSET($H$3,0,0,'Données projet'!$E$15+1,1))</f>
        <v>178.71569711875242</v>
      </c>
      <c r="EP179" s="59">
        <f t="shared" si="154"/>
        <v>178.13848582064168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4.3305874711955594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4.3305874711955594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267</v>
      </c>
      <c r="FF179" s="17">
        <f>FE179*VLOOKUP('Données projet'!$B$16,Paramètres!$A$1:$I$89,3,0)*VLOOKUP('Données projet'!$B$16,Paramètres!$A$1:$I$89,5,0)</f>
        <v>224.92080000000001</v>
      </c>
      <c r="FG179" s="13">
        <f t="shared" si="182"/>
        <v>55.1830164775604</v>
      </c>
      <c r="FH179" s="20">
        <f t="shared" si="183"/>
        <v>487.84748036508444</v>
      </c>
      <c r="FI179" s="59">
        <f t="shared" si="131"/>
        <v>781.18081369841775</v>
      </c>
      <c r="FJ179" s="59">
        <f ca="1">AVERAGE(OFFSET($FI$3,0,0,'Données projet'!$E$16+1,1))-AVERAGE(OFFSET($H$3,0,0,'Données projet'!$E$16+1,1))</f>
        <v>247.22536892257716</v>
      </c>
      <c r="FK179" s="59">
        <f t="shared" si="156"/>
        <v>147.97952262756075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21.026038527398939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21.026038527398939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6">
        <f t="shared" si="110"/>
        <v>482.34879141635599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249.0000000000002</v>
      </c>
      <c r="O180" s="13">
        <f>N180*VLOOKUP('Données projet'!$B$9,Paramètres!$A$1:$I$89,3,0)*VLOOKUP('Données projet'!$B$9,Paramètres!$A$1:$I$89,5,0)</f>
        <v>217.52640000000019</v>
      </c>
      <c r="P180" s="13">
        <f t="shared" si="141"/>
        <v>53.576907690651304</v>
      </c>
      <c r="Q180" s="20">
        <f t="shared" si="162"/>
        <v>472.17159422788467</v>
      </c>
      <c r="R180" s="59">
        <f t="shared" si="109"/>
        <v>765.50492756121798</v>
      </c>
      <c r="S180" s="59">
        <f ca="1">AVERAGE(OFFSET($R$3,0,0,'Données projet'!$E$9+1,1))-AVERAGE(OFFSET($H$3,0,0,'Données projet'!$E$9+1,1))</f>
        <v>253.73326067725128</v>
      </c>
      <c r="T180" s="59">
        <f t="shared" si="142"/>
        <v>317.76427047458026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7.5031858496151251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7.5031858496151251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732.99999999999966</v>
      </c>
      <c r="AJ180" s="13">
        <f>AI180*VLOOKUP('Données projet'!$B$10,Paramètres!$A$1:$I$89,3,0)*VLOOKUP('Données projet'!$B$10,Paramètres!$A$1:$I$89,5,0)</f>
        <v>352.57299999999987</v>
      </c>
      <c r="AK180" s="13">
        <f t="shared" si="164"/>
        <v>82.092092597941644</v>
      </c>
      <c r="AL180" s="20">
        <f t="shared" si="165"/>
        <v>757.04170294141477</v>
      </c>
      <c r="AM180" s="59">
        <f t="shared" si="113"/>
        <v>1050.375036274748</v>
      </c>
      <c r="AN180" s="59">
        <f ca="1">AVERAGE(OFFSET($AM$3,0,0,'Données projet'!$E$10+1,1))-AVERAGE(OFFSET($H$3,0,0,'Données projet'!$E$10+1,1))</f>
        <v>349.65790906807746</v>
      </c>
      <c r="AO180" s="59">
        <f t="shared" si="144"/>
        <v>291.88925884278888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18.528387988430456</v>
      </c>
      <c r="AV180" s="21">
        <f>EXP(-LN(2)/25)*AV179+(1-EXP(-LN(2)/25))/(LN(2)/25)*Calculateur!AQ180*Calculateur!AS180*VLOOKUP('Données projet'!$B$10,Paramètres!$A$1:$I$89,3,0)*0.475*44/12</f>
        <v>0.69948175549572988</v>
      </c>
      <c r="AW180" s="21">
        <f>EXP(-LN(2)/2)*AW179+(1-EXP(-LN(2)/2))/(LN(2)/2)*AQ180*AT180*VLOOKUP('Données projet'!$B$10,Paramètres!$A$1:$I$89,3,0)*0.475*44/12</f>
        <v>3.8224975055497389E-24</v>
      </c>
      <c r="AX180" s="21">
        <f t="shared" si="166"/>
        <v>19.227869743926185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319</v>
      </c>
      <c r="BE180" s="13">
        <f>BD180*VLOOKUP('Données projet'!$B$11,Paramètres!$A$1:$I$89,3,0)*VLOOKUP('Données projet'!$B$11,Paramètres!$A$1:$I$89,5,0)</f>
        <v>253.79640000000001</v>
      </c>
      <c r="BF180" s="13">
        <f t="shared" si="167"/>
        <v>61.39816832228076</v>
      </c>
      <c r="BG180" s="20">
        <f t="shared" si="168"/>
        <v>548.96387316130563</v>
      </c>
      <c r="BH180" s="59">
        <f t="shared" si="116"/>
        <v>842.29720649463889</v>
      </c>
      <c r="BI180" s="59">
        <f ca="1">AVERAGE(OFFSET($BH$3,0,0,'Données projet'!$E$11+1,1))-AVERAGE(OFFSET($H$3,0,0,'Données projet'!$E$11+1,1))</f>
        <v>279.49721661620544</v>
      </c>
      <c r="BJ180" s="59">
        <f t="shared" si="146"/>
        <v>275.18739333988754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7.7869813446657705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7.7869813446657705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266.99999999999983</v>
      </c>
      <c r="BZ180" s="13">
        <f>BY180*VLOOKUP('Données projet'!$B$12,Paramètres!$A$1:$I$89,3,0)*VLOOKUP('Données projet'!$B$12,Paramètres!$A$1:$I$89,5,0)</f>
        <v>258.24239999999986</v>
      </c>
      <c r="CA180" s="13">
        <f t="shared" si="170"/>
        <v>62.347580891234152</v>
      </c>
      <c r="CB180" s="20">
        <f t="shared" si="171"/>
        <v>558.3608833855659</v>
      </c>
      <c r="CC180" s="59">
        <f t="shared" si="119"/>
        <v>851.69421671889927</v>
      </c>
      <c r="CD180" s="59">
        <f ca="1">AVERAGE(OFFSET($CC$3,0,0,'Données projet'!$E$12+1,1))-AVERAGE(OFFSET($H$3,0,0,'Données projet'!$E$12+1,1))</f>
        <v>281.84871057356037</v>
      </c>
      <c r="CE180" s="59">
        <f t="shared" si="148"/>
        <v>276.02211904126887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6.267413621941512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6.267413621941512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319</v>
      </c>
      <c r="CU180" s="17">
        <f>CT180*VLOOKUP('Données projet'!$B$13,Paramètres!$A$1:$I$89,3,0)*VLOOKUP('Données projet'!$B$13,Paramètres!$A$1:$I$89,5,0)</f>
        <v>253.79640000000001</v>
      </c>
      <c r="CV180" s="13">
        <f t="shared" si="173"/>
        <v>61.39816832228076</v>
      </c>
      <c r="CW180" s="20">
        <f t="shared" si="174"/>
        <v>548.96387316130563</v>
      </c>
      <c r="CX180" s="59">
        <f t="shared" si="122"/>
        <v>842.29720649463889</v>
      </c>
      <c r="CY180" s="59">
        <f ca="1">AVERAGE(OFFSET($CX$3,0,0,'Données projet'!$E$13+1,1))-AVERAGE(OFFSET($H$3,0,0,'Données projet'!$E$13+1,1))</f>
        <v>279.49721661620544</v>
      </c>
      <c r="CZ180" s="59">
        <f t="shared" si="150"/>
        <v>275.18739333988754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7.7869813446657705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7.7869813446657705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267</v>
      </c>
      <c r="DP180" s="17">
        <f>DO180*VLOOKUP('Données projet'!$B$14,Paramètres!$A$1:$I$89,3,0)*VLOOKUP('Données projet'!$B$14,Paramètres!$A$1:$I$89,5,0)</f>
        <v>270.738</v>
      </c>
      <c r="DQ180" s="13">
        <f t="shared" si="176"/>
        <v>65.005866623551711</v>
      </c>
      <c r="DR180" s="20">
        <f t="shared" si="177"/>
        <v>584.7539010360191</v>
      </c>
      <c r="DS180" s="59">
        <f t="shared" si="125"/>
        <v>878.08723436935247</v>
      </c>
      <c r="DT180" s="59">
        <f ca="1">AVERAGE(OFFSET($DS$3,0,0,'Données projet'!$E$14+1,1))-AVERAGE(OFFSET($H$3,0,0,'Données projet'!$E$14+1,1))</f>
        <v>308.80022073574963</v>
      </c>
      <c r="DU180" s="59">
        <f t="shared" si="152"/>
        <v>183.96267407004115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24.812824034668459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24.812824034668459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266.99999999999983</v>
      </c>
      <c r="EK180" s="17">
        <f>EJ180*VLOOKUP('Données projet'!$B$15,Paramètres!$A$1:$I$89,3,0)*VLOOKUP('Données projet'!$B$15,Paramètres!$A$1:$I$89,5,0)</f>
        <v>174.93839999999989</v>
      </c>
      <c r="EL180" s="13">
        <f t="shared" si="179"/>
        <v>44.194210865203175</v>
      </c>
      <c r="EM180" s="20">
        <f t="shared" si="180"/>
        <v>381.65596392356196</v>
      </c>
      <c r="EN180" s="59">
        <f t="shared" si="128"/>
        <v>674.98929725689527</v>
      </c>
      <c r="EO180" s="59">
        <f ca="1">AVERAGE(OFFSET($EN$3,0,0,'Données projet'!$E$15+1,1))-AVERAGE(OFFSET($H$3,0,0,'Données projet'!$E$15+1,1))</f>
        <v>178.71569711875242</v>
      </c>
      <c r="EP180" s="59">
        <f t="shared" si="154"/>
        <v>178.13848582064168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4.2456672922829553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4.2456672922829553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267</v>
      </c>
      <c r="FF180" s="17">
        <f>FE180*VLOOKUP('Données projet'!$B$16,Paramètres!$A$1:$I$89,3,0)*VLOOKUP('Données projet'!$B$16,Paramètres!$A$1:$I$89,5,0)</f>
        <v>224.92080000000001</v>
      </c>
      <c r="FG180" s="13">
        <f t="shared" si="182"/>
        <v>55.1830164775604</v>
      </c>
      <c r="FH180" s="20">
        <f t="shared" si="183"/>
        <v>487.84748036508444</v>
      </c>
      <c r="FI180" s="59">
        <f t="shared" si="131"/>
        <v>781.18081369841775</v>
      </c>
      <c r="FJ180" s="59">
        <f ca="1">AVERAGE(OFFSET($FI$3,0,0,'Données projet'!$E$16+1,1))-AVERAGE(OFFSET($H$3,0,0,'Données projet'!$E$16+1,1))</f>
        <v>247.22536892257716</v>
      </c>
      <c r="FK180" s="59">
        <f t="shared" si="156"/>
        <v>147.97952262756075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20.613730736493821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20.613730736493821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6">
        <f t="shared" si="110"/>
        <v>483.38982007395271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249.0000000000002</v>
      </c>
      <c r="O181" s="13">
        <f>N181*VLOOKUP('Données projet'!$B$9,Paramètres!$A$1:$I$89,3,0)*VLOOKUP('Données projet'!$B$9,Paramètres!$A$1:$I$89,5,0)</f>
        <v>217.52640000000019</v>
      </c>
      <c r="P181" s="13">
        <f t="shared" si="141"/>
        <v>53.576907690651304</v>
      </c>
      <c r="Q181" s="20">
        <f t="shared" si="162"/>
        <v>472.17159422788467</v>
      </c>
      <c r="R181" s="59">
        <f t="shared" si="109"/>
        <v>765.50492756121798</v>
      </c>
      <c r="S181" s="59">
        <f ca="1">AVERAGE(OFFSET($R$3,0,0,'Données projet'!$E$9+1,1))-AVERAGE(OFFSET($H$3,0,0,'Données projet'!$E$9+1,1))</f>
        <v>253.73326067725128</v>
      </c>
      <c r="T181" s="59">
        <f t="shared" si="142"/>
        <v>317.76427047458026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7.3560529515956494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7.3560529515956494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732.99999999999966</v>
      </c>
      <c r="AJ181" s="13">
        <f>AI181*VLOOKUP('Données projet'!$B$10,Paramètres!$A$1:$I$89,3,0)*VLOOKUP('Données projet'!$B$10,Paramètres!$A$1:$I$89,5,0)</f>
        <v>352.57299999999987</v>
      </c>
      <c r="AK181" s="13">
        <f t="shared" si="164"/>
        <v>82.092092597941644</v>
      </c>
      <c r="AL181" s="20">
        <f t="shared" si="165"/>
        <v>757.04170294141477</v>
      </c>
      <c r="AM181" s="59">
        <f t="shared" si="113"/>
        <v>1050.375036274748</v>
      </c>
      <c r="AN181" s="59">
        <f ca="1">AVERAGE(OFFSET($AM$3,0,0,'Données projet'!$E$10+1,1))-AVERAGE(OFFSET($H$3,0,0,'Données projet'!$E$10+1,1))</f>
        <v>349.65790906807746</v>
      </c>
      <c r="AO181" s="59">
        <f t="shared" si="144"/>
        <v>291.88925884278888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18.165057601178106</v>
      </c>
      <c r="AV181" s="21">
        <f>EXP(-LN(2)/25)*AV180+(1-EXP(-LN(2)/25))/(LN(2)/25)*Calculateur!AQ181*Calculateur!AS181*VLOOKUP('Données projet'!$B$10,Paramètres!$A$1:$I$89,3,0)*0.475*44/12</f>
        <v>0.68035439010755228</v>
      </c>
      <c r="AW181" s="21">
        <f>EXP(-LN(2)/2)*AW180+(1-EXP(-LN(2)/2))/(LN(2)/2)*AQ181*AT181*VLOOKUP('Données projet'!$B$10,Paramètres!$A$1:$I$89,3,0)*0.475*44/12</f>
        <v>2.7029139072428829E-24</v>
      </c>
      <c r="AX181" s="21">
        <f t="shared" si="166"/>
        <v>18.845411991285658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319</v>
      </c>
      <c r="BE181" s="13">
        <f>BD181*VLOOKUP('Données projet'!$B$11,Paramètres!$A$1:$I$89,3,0)*VLOOKUP('Données projet'!$B$11,Paramètres!$A$1:$I$89,5,0)</f>
        <v>253.79640000000001</v>
      </c>
      <c r="BF181" s="13">
        <f t="shared" si="167"/>
        <v>61.39816832228076</v>
      </c>
      <c r="BG181" s="20">
        <f t="shared" si="168"/>
        <v>548.96387316130563</v>
      </c>
      <c r="BH181" s="59">
        <f t="shared" si="116"/>
        <v>842.29720649463889</v>
      </c>
      <c r="BI181" s="59">
        <f ca="1">AVERAGE(OFFSET($BH$3,0,0,'Données projet'!$E$11+1,1))-AVERAGE(OFFSET($H$3,0,0,'Données projet'!$E$11+1,1))</f>
        <v>279.49721661620544</v>
      </c>
      <c r="BJ181" s="59">
        <f t="shared" si="146"/>
        <v>275.18739333988754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7.6342833900865124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7.6342833900865124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266.99999999999983</v>
      </c>
      <c r="BZ181" s="13">
        <f>BY181*VLOOKUP('Données projet'!$B$12,Paramètres!$A$1:$I$89,3,0)*VLOOKUP('Données projet'!$B$12,Paramètres!$A$1:$I$89,5,0)</f>
        <v>258.24239999999986</v>
      </c>
      <c r="CA181" s="13">
        <f t="shared" si="170"/>
        <v>62.347580891234152</v>
      </c>
      <c r="CB181" s="20">
        <f t="shared" si="171"/>
        <v>558.3608833855659</v>
      </c>
      <c r="CC181" s="59">
        <f t="shared" si="119"/>
        <v>851.69421671889927</v>
      </c>
      <c r="CD181" s="59">
        <f ca="1">AVERAGE(OFFSET($CC$3,0,0,'Données projet'!$E$12+1,1))-AVERAGE(OFFSET($H$3,0,0,'Données projet'!$E$12+1,1))</f>
        <v>281.84871057356037</v>
      </c>
      <c r="CE181" s="59">
        <f t="shared" si="148"/>
        <v>276.02211904126887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6.1445134635600835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6.1445134635600835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319</v>
      </c>
      <c r="CU181" s="17">
        <f>CT181*VLOOKUP('Données projet'!$B$13,Paramètres!$A$1:$I$89,3,0)*VLOOKUP('Données projet'!$B$13,Paramètres!$A$1:$I$89,5,0)</f>
        <v>253.79640000000001</v>
      </c>
      <c r="CV181" s="13">
        <f t="shared" si="173"/>
        <v>61.39816832228076</v>
      </c>
      <c r="CW181" s="20">
        <f t="shared" si="174"/>
        <v>548.96387316130563</v>
      </c>
      <c r="CX181" s="59">
        <f t="shared" si="122"/>
        <v>842.29720649463889</v>
      </c>
      <c r="CY181" s="59">
        <f ca="1">AVERAGE(OFFSET($CX$3,0,0,'Données projet'!$E$13+1,1))-AVERAGE(OFFSET($H$3,0,0,'Données projet'!$E$13+1,1))</f>
        <v>279.49721661620544</v>
      </c>
      <c r="CZ181" s="59">
        <f t="shared" si="150"/>
        <v>275.18739333988754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7.6342833900865124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7.6342833900865124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267</v>
      </c>
      <c r="DP181" s="17">
        <f>DO181*VLOOKUP('Données projet'!$B$14,Paramètres!$A$1:$I$89,3,0)*VLOOKUP('Données projet'!$B$14,Paramètres!$A$1:$I$89,5,0)</f>
        <v>270.738</v>
      </c>
      <c r="DQ181" s="13">
        <f t="shared" si="176"/>
        <v>65.005866623551711</v>
      </c>
      <c r="DR181" s="20">
        <f t="shared" si="177"/>
        <v>584.7539010360191</v>
      </c>
      <c r="DS181" s="59">
        <f t="shared" si="125"/>
        <v>878.08723436935247</v>
      </c>
      <c r="DT181" s="59">
        <f ca="1">AVERAGE(OFFSET($DS$3,0,0,'Données projet'!$E$14+1,1))-AVERAGE(OFFSET($H$3,0,0,'Données projet'!$E$14+1,1))</f>
        <v>308.80022073574963</v>
      </c>
      <c r="DU181" s="59">
        <f t="shared" si="152"/>
        <v>183.96267407004115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24.326259689676881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24.326259689676881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266.99999999999983</v>
      </c>
      <c r="EK181" s="17">
        <f>EJ181*VLOOKUP('Données projet'!$B$15,Paramètres!$A$1:$I$89,3,0)*VLOOKUP('Données projet'!$B$15,Paramètres!$A$1:$I$89,5,0)</f>
        <v>174.93839999999989</v>
      </c>
      <c r="EL181" s="13">
        <f t="shared" si="179"/>
        <v>44.194210865203175</v>
      </c>
      <c r="EM181" s="20">
        <f t="shared" si="180"/>
        <v>381.65596392356196</v>
      </c>
      <c r="EN181" s="59">
        <f t="shared" si="128"/>
        <v>674.98929725689527</v>
      </c>
      <c r="EO181" s="59">
        <f ca="1">AVERAGE(OFFSET($EN$3,0,0,'Données projet'!$E$15+1,1))-AVERAGE(OFFSET($H$3,0,0,'Données projet'!$E$15+1,1))</f>
        <v>178.71569711875242</v>
      </c>
      <c r="EP181" s="59">
        <f t="shared" si="154"/>
        <v>178.13848582064168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4.1624123462826326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4.1624123462826326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267</v>
      </c>
      <c r="FF181" s="17">
        <f>FE181*VLOOKUP('Données projet'!$B$16,Paramètres!$A$1:$I$89,3,0)*VLOOKUP('Données projet'!$B$16,Paramètres!$A$1:$I$89,5,0)</f>
        <v>224.92080000000001</v>
      </c>
      <c r="FG181" s="13">
        <f t="shared" si="182"/>
        <v>55.1830164775604</v>
      </c>
      <c r="FH181" s="20">
        <f t="shared" si="183"/>
        <v>487.84748036508444</v>
      </c>
      <c r="FI181" s="59">
        <f t="shared" si="131"/>
        <v>781.18081369841775</v>
      </c>
      <c r="FJ181" s="59">
        <f ca="1">AVERAGE(OFFSET($FI$3,0,0,'Données projet'!$E$16+1,1))-AVERAGE(OFFSET($H$3,0,0,'Données projet'!$E$16+1,1))</f>
        <v>247.22536892257716</v>
      </c>
      <c r="FK181" s="59">
        <f t="shared" si="156"/>
        <v>147.97952262756075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20.209508049885432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20.209508049885432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6">
        <f t="shared" si="110"/>
        <v>484.43071583827873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249.0000000000002</v>
      </c>
      <c r="O182" s="13">
        <f>N182*VLOOKUP('Données projet'!$B$9,Paramètres!$A$1:$I$89,3,0)*VLOOKUP('Données projet'!$B$9,Paramètres!$A$1:$I$89,5,0)</f>
        <v>217.52640000000019</v>
      </c>
      <c r="P182" s="13">
        <f t="shared" si="141"/>
        <v>53.576907690651304</v>
      </c>
      <c r="Q182" s="20">
        <f t="shared" si="162"/>
        <v>472.17159422788467</v>
      </c>
      <c r="R182" s="59">
        <f t="shared" si="109"/>
        <v>765.50492756121798</v>
      </c>
      <c r="S182" s="59">
        <f ca="1">AVERAGE(OFFSET($R$3,0,0,'Données projet'!$E$9+1,1))-AVERAGE(OFFSET($H$3,0,0,'Données projet'!$E$9+1,1))</f>
        <v>253.73326067725128</v>
      </c>
      <c r="T182" s="59">
        <f t="shared" si="142"/>
        <v>317.76427047458026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7.2118052399641295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7.2118052399641295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732.99999999999966</v>
      </c>
      <c r="AJ182" s="13">
        <f>AI182*VLOOKUP('Données projet'!$B$10,Paramètres!$A$1:$I$89,3,0)*VLOOKUP('Données projet'!$B$10,Paramètres!$A$1:$I$89,5,0)</f>
        <v>352.57299999999987</v>
      </c>
      <c r="AK182" s="13">
        <f t="shared" si="164"/>
        <v>82.092092597941644</v>
      </c>
      <c r="AL182" s="20">
        <f t="shared" si="165"/>
        <v>757.04170294141477</v>
      </c>
      <c r="AM182" s="59">
        <f t="shared" si="113"/>
        <v>1050.375036274748</v>
      </c>
      <c r="AN182" s="59">
        <f ca="1">AVERAGE(OFFSET($AM$3,0,0,'Données projet'!$E$10+1,1))-AVERAGE(OFFSET($H$3,0,0,'Données projet'!$E$10+1,1))</f>
        <v>349.65790906807746</v>
      </c>
      <c r="AO182" s="59">
        <f t="shared" si="144"/>
        <v>291.88925884278888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17.808851901210122</v>
      </c>
      <c r="AV182" s="21">
        <f>EXP(-LN(2)/25)*AV181+(1-EXP(-LN(2)/25))/(LN(2)/25)*Calculateur!AQ182*Calculateur!AS182*VLOOKUP('Données projet'!$B$10,Paramètres!$A$1:$I$89,3,0)*0.475*44/12</f>
        <v>0.6617500635317789</v>
      </c>
      <c r="AW182" s="21">
        <f>EXP(-LN(2)/2)*AW181+(1-EXP(-LN(2)/2))/(LN(2)/2)*AQ182*AT182*VLOOKUP('Données projet'!$B$10,Paramètres!$A$1:$I$89,3,0)*0.475*44/12</f>
        <v>1.9112487527748694E-24</v>
      </c>
      <c r="AX182" s="21">
        <f t="shared" si="166"/>
        <v>18.470601964741903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319</v>
      </c>
      <c r="BE182" s="13">
        <f>BD182*VLOOKUP('Données projet'!$B$11,Paramètres!$A$1:$I$89,3,0)*VLOOKUP('Données projet'!$B$11,Paramètres!$A$1:$I$89,5,0)</f>
        <v>253.79640000000001</v>
      </c>
      <c r="BF182" s="13">
        <f t="shared" si="167"/>
        <v>61.39816832228076</v>
      </c>
      <c r="BG182" s="20">
        <f t="shared" si="168"/>
        <v>548.96387316130563</v>
      </c>
      <c r="BH182" s="59">
        <f t="shared" si="116"/>
        <v>842.29720649463889</v>
      </c>
      <c r="BI182" s="59">
        <f ca="1">AVERAGE(OFFSET($BH$3,0,0,'Données projet'!$E$11+1,1))-AVERAGE(OFFSET($H$3,0,0,'Données projet'!$E$11+1,1))</f>
        <v>279.49721661620544</v>
      </c>
      <c r="BJ182" s="59">
        <f t="shared" si="146"/>
        <v>275.18739333988754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7.4845797492599973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7.4845797492599973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266.99999999999983</v>
      </c>
      <c r="BZ182" s="13">
        <f>BY182*VLOOKUP('Données projet'!$B$12,Paramètres!$A$1:$I$89,3,0)*VLOOKUP('Données projet'!$B$12,Paramètres!$A$1:$I$89,5,0)</f>
        <v>258.24239999999986</v>
      </c>
      <c r="CA182" s="13">
        <f t="shared" si="170"/>
        <v>62.347580891234152</v>
      </c>
      <c r="CB182" s="20">
        <f t="shared" si="171"/>
        <v>558.3608833855659</v>
      </c>
      <c r="CC182" s="59">
        <f t="shared" si="119"/>
        <v>851.69421671889927</v>
      </c>
      <c r="CD182" s="59">
        <f ca="1">AVERAGE(OFFSET($CC$3,0,0,'Données projet'!$E$12+1,1))-AVERAGE(OFFSET($H$3,0,0,'Données projet'!$E$12+1,1))</f>
        <v>281.84871057356037</v>
      </c>
      <c r="CE182" s="59">
        <f t="shared" si="148"/>
        <v>276.02211904126887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6.0240233023228198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6.0240233023228198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319</v>
      </c>
      <c r="CU182" s="17">
        <f>CT182*VLOOKUP('Données projet'!$B$13,Paramètres!$A$1:$I$89,3,0)*VLOOKUP('Données projet'!$B$13,Paramètres!$A$1:$I$89,5,0)</f>
        <v>253.79640000000001</v>
      </c>
      <c r="CV182" s="13">
        <f t="shared" si="173"/>
        <v>61.39816832228076</v>
      </c>
      <c r="CW182" s="20">
        <f t="shared" si="174"/>
        <v>548.96387316130563</v>
      </c>
      <c r="CX182" s="59">
        <f t="shared" si="122"/>
        <v>842.29720649463889</v>
      </c>
      <c r="CY182" s="59">
        <f ca="1">AVERAGE(OFFSET($CX$3,0,0,'Données projet'!$E$13+1,1))-AVERAGE(OFFSET($H$3,0,0,'Données projet'!$E$13+1,1))</f>
        <v>279.49721661620544</v>
      </c>
      <c r="CZ182" s="59">
        <f t="shared" si="150"/>
        <v>275.18739333988754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7.4845797492599973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7.4845797492599973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267</v>
      </c>
      <c r="DP182" s="17">
        <f>DO182*VLOOKUP('Données projet'!$B$14,Paramètres!$A$1:$I$89,3,0)*VLOOKUP('Données projet'!$B$14,Paramètres!$A$1:$I$89,5,0)</f>
        <v>270.738</v>
      </c>
      <c r="DQ182" s="13">
        <f t="shared" si="176"/>
        <v>65.005866623551711</v>
      </c>
      <c r="DR182" s="20">
        <f t="shared" si="177"/>
        <v>584.7539010360191</v>
      </c>
      <c r="DS182" s="59">
        <f t="shared" si="125"/>
        <v>878.08723436935247</v>
      </c>
      <c r="DT182" s="59">
        <f ca="1">AVERAGE(OFFSET($DS$3,0,0,'Données projet'!$E$14+1,1))-AVERAGE(OFFSET($H$3,0,0,'Données projet'!$E$14+1,1))</f>
        <v>308.80022073574963</v>
      </c>
      <c r="DU182" s="59">
        <f t="shared" si="152"/>
        <v>183.96267407004115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23.84923657471564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23.84923657471564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266.99999999999983</v>
      </c>
      <c r="EK182" s="17">
        <f>EJ182*VLOOKUP('Données projet'!$B$15,Paramètres!$A$1:$I$89,3,0)*VLOOKUP('Données projet'!$B$15,Paramètres!$A$1:$I$89,5,0)</f>
        <v>174.93839999999989</v>
      </c>
      <c r="EL182" s="13">
        <f t="shared" si="179"/>
        <v>44.194210865203175</v>
      </c>
      <c r="EM182" s="20">
        <f t="shared" si="180"/>
        <v>381.65596392356196</v>
      </c>
      <c r="EN182" s="59">
        <f t="shared" si="128"/>
        <v>674.98929725689527</v>
      </c>
      <c r="EO182" s="59">
        <f ca="1">AVERAGE(OFFSET($EN$3,0,0,'Données projet'!$E$15+1,1))-AVERAGE(OFFSET($H$3,0,0,'Données projet'!$E$15+1,1))</f>
        <v>178.71569711875242</v>
      </c>
      <c r="EP182" s="59">
        <f t="shared" si="154"/>
        <v>178.13848582064168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4.0807899789928737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4.0807899789928737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267</v>
      </c>
      <c r="FF182" s="17">
        <f>FE182*VLOOKUP('Données projet'!$B$16,Paramètres!$A$1:$I$89,3,0)*VLOOKUP('Données projet'!$B$16,Paramètres!$A$1:$I$89,5,0)</f>
        <v>224.92080000000001</v>
      </c>
      <c r="FG182" s="13">
        <f t="shared" si="182"/>
        <v>55.1830164775604</v>
      </c>
      <c r="FH182" s="20">
        <f t="shared" si="183"/>
        <v>487.84748036508444</v>
      </c>
      <c r="FI182" s="59">
        <f t="shared" si="131"/>
        <v>781.18081369841775</v>
      </c>
      <c r="FJ182" s="59">
        <f ca="1">AVERAGE(OFFSET($FI$3,0,0,'Données projet'!$E$16+1,1))-AVERAGE(OFFSET($H$3,0,0,'Données projet'!$E$16+1,1))</f>
        <v>247.22536892257716</v>
      </c>
      <c r="FK182" s="59">
        <f t="shared" si="156"/>
        <v>147.97952262756075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19.813211923609941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19.813211923609941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6">
        <f t="shared" si="110"/>
        <v>485.47147953791148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249.0000000000002</v>
      </c>
      <c r="O183" s="13">
        <f>N183*VLOOKUP('Données projet'!$B$9,Paramètres!$A$1:$I$89,3,0)*VLOOKUP('Données projet'!$B$9,Paramètres!$A$1:$I$89,5,0)</f>
        <v>217.52640000000019</v>
      </c>
      <c r="P183" s="13">
        <f t="shared" si="141"/>
        <v>53.576907690651304</v>
      </c>
      <c r="Q183" s="20">
        <f t="shared" si="162"/>
        <v>472.17159422788467</v>
      </c>
      <c r="R183" s="59">
        <f t="shared" si="109"/>
        <v>765.50492756121798</v>
      </c>
      <c r="S183" s="59">
        <f ca="1">AVERAGE(OFFSET($R$3,0,0,'Données projet'!$E$9+1,1))-AVERAGE(OFFSET($H$3,0,0,'Données projet'!$E$9+1,1))</f>
        <v>253.73326067725128</v>
      </c>
      <c r="T183" s="59">
        <f t="shared" si="142"/>
        <v>317.76427047458026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7.0703861379752873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7.0703861379752873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732.99999999999966</v>
      </c>
      <c r="AJ183" s="13">
        <f>AI183*VLOOKUP('Données projet'!$B$10,Paramètres!$A$1:$I$89,3,0)*VLOOKUP('Données projet'!$B$10,Paramètres!$A$1:$I$89,5,0)</f>
        <v>352.57299999999987</v>
      </c>
      <c r="AK183" s="13">
        <f t="shared" si="164"/>
        <v>82.092092597941644</v>
      </c>
      <c r="AL183" s="20">
        <f t="shared" si="165"/>
        <v>757.04170294141477</v>
      </c>
      <c r="AM183" s="59">
        <f t="shared" si="113"/>
        <v>1050.375036274748</v>
      </c>
      <c r="AN183" s="59">
        <f ca="1">AVERAGE(OFFSET($AM$3,0,0,'Données projet'!$E$10+1,1))-AVERAGE(OFFSET($H$3,0,0,'Données projet'!$E$10+1,1))</f>
        <v>349.65790906807746</v>
      </c>
      <c r="AO183" s="59">
        <f t="shared" si="144"/>
        <v>291.88925884278888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17.459631177754485</v>
      </c>
      <c r="AV183" s="21">
        <f>EXP(-LN(2)/25)*AV182+(1-EXP(-LN(2)/25))/(LN(2)/25)*Calculateur!AQ183*Calculateur!AS183*VLOOKUP('Données projet'!$B$10,Paramètres!$A$1:$I$89,3,0)*0.475*44/12</f>
        <v>0.64365447324457903</v>
      </c>
      <c r="AW183" s="21">
        <f>EXP(-LN(2)/2)*AW182+(1-EXP(-LN(2)/2))/(LN(2)/2)*AQ183*AT183*VLOOKUP('Données projet'!$B$10,Paramètres!$A$1:$I$89,3,0)*0.475*44/12</f>
        <v>1.3514569536214415E-24</v>
      </c>
      <c r="AX183" s="21">
        <f t="shared" si="166"/>
        <v>18.103285650999062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319</v>
      </c>
      <c r="BE183" s="13">
        <f>BD183*VLOOKUP('Données projet'!$B$11,Paramètres!$A$1:$I$89,3,0)*VLOOKUP('Données projet'!$B$11,Paramètres!$A$1:$I$89,5,0)</f>
        <v>253.79640000000001</v>
      </c>
      <c r="BF183" s="13">
        <f t="shared" si="167"/>
        <v>61.39816832228076</v>
      </c>
      <c r="BG183" s="20">
        <f t="shared" si="168"/>
        <v>548.96387316130563</v>
      </c>
      <c r="BH183" s="59">
        <f t="shared" si="116"/>
        <v>842.29720649463889</v>
      </c>
      <c r="BI183" s="59">
        <f ca="1">AVERAGE(OFFSET($BH$3,0,0,'Données projet'!$E$11+1,1))-AVERAGE(OFFSET($H$3,0,0,'Données projet'!$E$11+1,1))</f>
        <v>279.49721661620544</v>
      </c>
      <c r="BJ183" s="59">
        <f t="shared" si="146"/>
        <v>275.18739333988754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7.3378117055198855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7.3378117055198855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266.99999999999983</v>
      </c>
      <c r="BZ183" s="13">
        <f>BY183*VLOOKUP('Données projet'!$B$12,Paramètres!$A$1:$I$89,3,0)*VLOOKUP('Données projet'!$B$12,Paramètres!$A$1:$I$89,5,0)</f>
        <v>258.24239999999986</v>
      </c>
      <c r="CA183" s="13">
        <f t="shared" si="170"/>
        <v>62.347580891234152</v>
      </c>
      <c r="CB183" s="20">
        <f t="shared" si="171"/>
        <v>558.3608833855659</v>
      </c>
      <c r="CC183" s="59">
        <f t="shared" si="119"/>
        <v>851.69421671889927</v>
      </c>
      <c r="CD183" s="59">
        <f ca="1">AVERAGE(OFFSET($CC$3,0,0,'Données projet'!$E$12+1,1))-AVERAGE(OFFSET($H$3,0,0,'Données projet'!$E$12+1,1))</f>
        <v>281.84871057356037</v>
      </c>
      <c r="CE183" s="59">
        <f t="shared" si="148"/>
        <v>276.02211904126887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5.9058958796556773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5.9058958796556773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319</v>
      </c>
      <c r="CU183" s="17">
        <f>CT183*VLOOKUP('Données projet'!$B$13,Paramètres!$A$1:$I$89,3,0)*VLOOKUP('Données projet'!$B$13,Paramètres!$A$1:$I$89,5,0)</f>
        <v>253.79640000000001</v>
      </c>
      <c r="CV183" s="13">
        <f t="shared" si="173"/>
        <v>61.39816832228076</v>
      </c>
      <c r="CW183" s="20">
        <f t="shared" si="174"/>
        <v>548.96387316130563</v>
      </c>
      <c r="CX183" s="59">
        <f t="shared" si="122"/>
        <v>842.29720649463889</v>
      </c>
      <c r="CY183" s="59">
        <f ca="1">AVERAGE(OFFSET($CX$3,0,0,'Données projet'!$E$13+1,1))-AVERAGE(OFFSET($H$3,0,0,'Données projet'!$E$13+1,1))</f>
        <v>279.49721661620544</v>
      </c>
      <c r="CZ183" s="59">
        <f t="shared" si="150"/>
        <v>275.18739333988754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7.3378117055198855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7.3378117055198855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267</v>
      </c>
      <c r="DP183" s="17">
        <f>DO183*VLOOKUP('Données projet'!$B$14,Paramètres!$A$1:$I$89,3,0)*VLOOKUP('Données projet'!$B$14,Paramètres!$A$1:$I$89,5,0)</f>
        <v>270.738</v>
      </c>
      <c r="DQ183" s="13">
        <f t="shared" si="176"/>
        <v>65.005866623551711</v>
      </c>
      <c r="DR183" s="20">
        <f t="shared" si="177"/>
        <v>584.7539010360191</v>
      </c>
      <c r="DS183" s="59">
        <f t="shared" si="125"/>
        <v>878.08723436935247</v>
      </c>
      <c r="DT183" s="59">
        <f ca="1">AVERAGE(OFFSET($DS$3,0,0,'Données projet'!$E$14+1,1))-AVERAGE(OFFSET($H$3,0,0,'Données projet'!$E$14+1,1))</f>
        <v>308.80022073574963</v>
      </c>
      <c r="DU183" s="59">
        <f t="shared" si="152"/>
        <v>183.96267407004115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23.381567592083421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23.381567592083421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266.99999999999983</v>
      </c>
      <c r="EK183" s="17">
        <f>EJ183*VLOOKUP('Données projet'!$B$15,Paramètres!$A$1:$I$89,3,0)*VLOOKUP('Données projet'!$B$15,Paramètres!$A$1:$I$89,5,0)</f>
        <v>174.93839999999989</v>
      </c>
      <c r="EL183" s="13">
        <f t="shared" si="179"/>
        <v>44.194210865203175</v>
      </c>
      <c r="EM183" s="20">
        <f t="shared" si="180"/>
        <v>381.65596392356196</v>
      </c>
      <c r="EN183" s="59">
        <f t="shared" si="128"/>
        <v>674.98929725689527</v>
      </c>
      <c r="EO183" s="59">
        <f ca="1">AVERAGE(OFFSET($EN$3,0,0,'Données projet'!$E$15+1,1))-AVERAGE(OFFSET($H$3,0,0,'Données projet'!$E$15+1,1))</f>
        <v>178.71569711875242</v>
      </c>
      <c r="EP183" s="59">
        <f t="shared" si="154"/>
        <v>178.13848582064168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4.0007681765409391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4.0007681765409391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267</v>
      </c>
      <c r="FF183" s="17">
        <f>FE183*VLOOKUP('Données projet'!$B$16,Paramètres!$A$1:$I$89,3,0)*VLOOKUP('Données projet'!$B$16,Paramètres!$A$1:$I$89,5,0)</f>
        <v>224.92080000000001</v>
      </c>
      <c r="FG183" s="13">
        <f t="shared" si="182"/>
        <v>55.1830164775604</v>
      </c>
      <c r="FH183" s="20">
        <f t="shared" si="183"/>
        <v>487.84748036508444</v>
      </c>
      <c r="FI183" s="59">
        <f t="shared" si="131"/>
        <v>781.18081369841775</v>
      </c>
      <c r="FJ183" s="59">
        <f ca="1">AVERAGE(OFFSET($FI$3,0,0,'Données projet'!$E$16+1,1))-AVERAGE(OFFSET($H$3,0,0,'Données projet'!$E$16+1,1))</f>
        <v>247.22536892257716</v>
      </c>
      <c r="FK183" s="59">
        <f t="shared" si="156"/>
        <v>147.97952262756075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19.424686922653944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19.424686922653944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6">
        <f t="shared" si="110"/>
        <v>486.51211199168915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249.0000000000002</v>
      </c>
      <c r="O184" s="13">
        <f>N184*VLOOKUP('Données projet'!$B$9,Paramètres!$A$1:$I$89,3,0)*VLOOKUP('Données projet'!$B$9,Paramètres!$A$1:$I$89,5,0)</f>
        <v>217.52640000000019</v>
      </c>
      <c r="P184" s="13">
        <f t="shared" si="141"/>
        <v>53.576907690651304</v>
      </c>
      <c r="Q184" s="20">
        <f t="shared" si="162"/>
        <v>472.17159422788467</v>
      </c>
      <c r="R184" s="59">
        <f t="shared" si="109"/>
        <v>765.50492756121798</v>
      </c>
      <c r="S184" s="59">
        <f ca="1">AVERAGE(OFFSET($R$3,0,0,'Données projet'!$E$9+1,1))-AVERAGE(OFFSET($H$3,0,0,'Données projet'!$E$9+1,1))</f>
        <v>253.73326067725128</v>
      </c>
      <c r="T184" s="59">
        <f t="shared" si="142"/>
        <v>317.76427047458026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6.9317401783193109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6.9317401783193109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732.99999999999966</v>
      </c>
      <c r="AJ184" s="13">
        <f>AI184*VLOOKUP('Données projet'!$B$10,Paramètres!$A$1:$I$89,3,0)*VLOOKUP('Données projet'!$B$10,Paramètres!$A$1:$I$89,5,0)</f>
        <v>352.57299999999987</v>
      </c>
      <c r="AK184" s="13">
        <f t="shared" si="164"/>
        <v>82.092092597941644</v>
      </c>
      <c r="AL184" s="20">
        <f t="shared" si="165"/>
        <v>757.04170294141477</v>
      </c>
      <c r="AM184" s="59">
        <f t="shared" si="113"/>
        <v>1050.375036274748</v>
      </c>
      <c r="AN184" s="59">
        <f ca="1">AVERAGE(OFFSET($AM$3,0,0,'Données projet'!$E$10+1,1))-AVERAGE(OFFSET($H$3,0,0,'Données projet'!$E$10+1,1))</f>
        <v>349.65790906807746</v>
      </c>
      <c r="AO184" s="59">
        <f t="shared" si="144"/>
        <v>291.88925884278888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17.117258459682205</v>
      </c>
      <c r="AV184" s="21">
        <f>EXP(-LN(2)/25)*AV183+(1-EXP(-LN(2)/25))/(LN(2)/25)*Calculateur!AQ184*Calculateur!AS184*VLOOKUP('Données projet'!$B$10,Paramètres!$A$1:$I$89,3,0)*0.475*44/12</f>
        <v>0.62605370782538838</v>
      </c>
      <c r="AW184" s="21">
        <f>EXP(-LN(2)/2)*AW183+(1-EXP(-LN(2)/2))/(LN(2)/2)*AQ184*AT184*VLOOKUP('Données projet'!$B$10,Paramètres!$A$1:$I$89,3,0)*0.475*44/12</f>
        <v>9.5562437638743472E-25</v>
      </c>
      <c r="AX184" s="21">
        <f t="shared" si="166"/>
        <v>17.743312167507593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319</v>
      </c>
      <c r="BE184" s="13">
        <f>BD184*VLOOKUP('Données projet'!$B$11,Paramètres!$A$1:$I$89,3,0)*VLOOKUP('Données projet'!$B$11,Paramètres!$A$1:$I$89,5,0)</f>
        <v>253.79640000000001</v>
      </c>
      <c r="BF184" s="13">
        <f t="shared" si="167"/>
        <v>61.39816832228076</v>
      </c>
      <c r="BG184" s="20">
        <f t="shared" si="168"/>
        <v>548.96387316130563</v>
      </c>
      <c r="BH184" s="59">
        <f t="shared" si="116"/>
        <v>842.29720649463889</v>
      </c>
      <c r="BI184" s="59">
        <f ca="1">AVERAGE(OFFSET($BH$3,0,0,'Données projet'!$E$11+1,1))-AVERAGE(OFFSET($H$3,0,0,'Données projet'!$E$11+1,1))</f>
        <v>279.49721661620544</v>
      </c>
      <c r="BJ184" s="59">
        <f t="shared" si="146"/>
        <v>275.18739333988754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7.1939216935978498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7.1939216935978498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266.99999999999983</v>
      </c>
      <c r="BZ184" s="13">
        <f>BY184*VLOOKUP('Données projet'!$B$12,Paramètres!$A$1:$I$89,3,0)*VLOOKUP('Données projet'!$B$12,Paramètres!$A$1:$I$89,5,0)</f>
        <v>258.24239999999986</v>
      </c>
      <c r="CA184" s="13">
        <f t="shared" si="170"/>
        <v>62.347580891234152</v>
      </c>
      <c r="CB184" s="20">
        <f t="shared" si="171"/>
        <v>558.3608833855659</v>
      </c>
      <c r="CC184" s="59">
        <f t="shared" si="119"/>
        <v>851.69421671889927</v>
      </c>
      <c r="CD184" s="59">
        <f ca="1">AVERAGE(OFFSET($CC$3,0,0,'Données projet'!$E$12+1,1))-AVERAGE(OFFSET($H$3,0,0,'Données projet'!$E$12+1,1))</f>
        <v>281.84871057356037</v>
      </c>
      <c r="CE184" s="59">
        <f t="shared" si="148"/>
        <v>276.02211904126887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5.7900848636964239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5.7900848636964239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319</v>
      </c>
      <c r="CU184" s="17">
        <f>CT184*VLOOKUP('Données projet'!$B$13,Paramètres!$A$1:$I$89,3,0)*VLOOKUP('Données projet'!$B$13,Paramètres!$A$1:$I$89,5,0)</f>
        <v>253.79640000000001</v>
      </c>
      <c r="CV184" s="13">
        <f t="shared" si="173"/>
        <v>61.39816832228076</v>
      </c>
      <c r="CW184" s="20">
        <f t="shared" si="174"/>
        <v>548.96387316130563</v>
      </c>
      <c r="CX184" s="59">
        <f t="shared" si="122"/>
        <v>842.29720649463889</v>
      </c>
      <c r="CY184" s="59">
        <f ca="1">AVERAGE(OFFSET($CX$3,0,0,'Données projet'!$E$13+1,1))-AVERAGE(OFFSET($H$3,0,0,'Données projet'!$E$13+1,1))</f>
        <v>279.49721661620544</v>
      </c>
      <c r="CZ184" s="59">
        <f t="shared" si="150"/>
        <v>275.18739333988754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7.1939216935978498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7.1939216935978498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267</v>
      </c>
      <c r="DP184" s="17">
        <f>DO184*VLOOKUP('Données projet'!$B$14,Paramètres!$A$1:$I$89,3,0)*VLOOKUP('Données projet'!$B$14,Paramètres!$A$1:$I$89,5,0)</f>
        <v>270.738</v>
      </c>
      <c r="DQ184" s="13">
        <f t="shared" si="176"/>
        <v>65.005866623551711</v>
      </c>
      <c r="DR184" s="20">
        <f t="shared" si="177"/>
        <v>584.7539010360191</v>
      </c>
      <c r="DS184" s="59">
        <f t="shared" si="125"/>
        <v>878.08723436935247</v>
      </c>
      <c r="DT184" s="59">
        <f ca="1">AVERAGE(OFFSET($DS$3,0,0,'Données projet'!$E$14+1,1))-AVERAGE(OFFSET($H$3,0,0,'Données projet'!$E$14+1,1))</f>
        <v>308.80022073574963</v>
      </c>
      <c r="DU184" s="59">
        <f t="shared" si="152"/>
        <v>183.96267407004115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22.923069312950705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22.923069312950705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266.99999999999983</v>
      </c>
      <c r="EK184" s="17">
        <f>EJ184*VLOOKUP('Données projet'!$B$15,Paramètres!$A$1:$I$89,3,0)*VLOOKUP('Données projet'!$B$15,Paramètres!$A$1:$I$89,5,0)</f>
        <v>174.93839999999989</v>
      </c>
      <c r="EL184" s="13">
        <f t="shared" si="179"/>
        <v>44.194210865203175</v>
      </c>
      <c r="EM184" s="20">
        <f t="shared" si="180"/>
        <v>381.65596392356196</v>
      </c>
      <c r="EN184" s="59">
        <f t="shared" si="128"/>
        <v>674.98929725689527</v>
      </c>
      <c r="EO184" s="59">
        <f ca="1">AVERAGE(OFFSET($EN$3,0,0,'Données projet'!$E$15+1,1))-AVERAGE(OFFSET($H$3,0,0,'Données projet'!$E$15+1,1))</f>
        <v>178.71569711875242</v>
      </c>
      <c r="EP184" s="59">
        <f t="shared" si="154"/>
        <v>178.13848582064168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3.9223155528266065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3.9223155528266065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267</v>
      </c>
      <c r="FF184" s="17">
        <f>FE184*VLOOKUP('Données projet'!$B$16,Paramètres!$A$1:$I$89,3,0)*VLOOKUP('Données projet'!$B$16,Paramètres!$A$1:$I$89,5,0)</f>
        <v>224.92080000000001</v>
      </c>
      <c r="FG184" s="13">
        <f t="shared" si="182"/>
        <v>55.1830164775604</v>
      </c>
      <c r="FH184" s="20">
        <f t="shared" si="183"/>
        <v>487.84748036508444</v>
      </c>
      <c r="FI184" s="59">
        <f t="shared" si="131"/>
        <v>781.18081369841775</v>
      </c>
      <c r="FJ184" s="59">
        <f ca="1">AVERAGE(OFFSET($FI$3,0,0,'Données projet'!$E$16+1,1))-AVERAGE(OFFSET($H$3,0,0,'Données projet'!$E$16+1,1))</f>
        <v>247.22536892257716</v>
      </c>
      <c r="FK184" s="59">
        <f t="shared" si="156"/>
        <v>147.97952262756075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19.043780659989842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19.043780659989842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6">
        <f t="shared" si="110"/>
        <v>487.55261400887855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249.0000000000002</v>
      </c>
      <c r="O185" s="13">
        <f>N185*VLOOKUP('Données projet'!$B$9,Paramètres!$A$1:$I$89,3,0)*VLOOKUP('Données projet'!$B$9,Paramètres!$A$1:$I$89,5,0)</f>
        <v>217.52640000000019</v>
      </c>
      <c r="P185" s="13">
        <f t="shared" si="141"/>
        <v>53.576907690651304</v>
      </c>
      <c r="Q185" s="20">
        <f t="shared" si="162"/>
        <v>472.17159422788467</v>
      </c>
      <c r="R185" s="59">
        <f t="shared" si="109"/>
        <v>765.50492756121798</v>
      </c>
      <c r="S185" s="59">
        <f ca="1">AVERAGE(OFFSET($R$3,0,0,'Données projet'!$E$9+1,1))-AVERAGE(OFFSET($H$3,0,0,'Données projet'!$E$9+1,1))</f>
        <v>253.73326067725128</v>
      </c>
      <c r="T185" s="59">
        <f t="shared" si="142"/>
        <v>317.76427047458026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6.7958129813665034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6.7958129813665034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732.99999999999966</v>
      </c>
      <c r="AJ185" s="13">
        <f>AI185*VLOOKUP('Données projet'!$B$10,Paramètres!$A$1:$I$89,3,0)*VLOOKUP('Données projet'!$B$10,Paramètres!$A$1:$I$89,5,0)</f>
        <v>352.57299999999987</v>
      </c>
      <c r="AK185" s="13">
        <f t="shared" si="164"/>
        <v>82.092092597941644</v>
      </c>
      <c r="AL185" s="20">
        <f t="shared" si="165"/>
        <v>757.04170294141477</v>
      </c>
      <c r="AM185" s="59">
        <f t="shared" si="113"/>
        <v>1050.375036274748</v>
      </c>
      <c r="AN185" s="59">
        <f ca="1">AVERAGE(OFFSET($AM$3,0,0,'Données projet'!$E$10+1,1))-AVERAGE(OFFSET($H$3,0,0,'Données projet'!$E$10+1,1))</f>
        <v>349.65790906807746</v>
      </c>
      <c r="AO185" s="59">
        <f t="shared" si="144"/>
        <v>291.88925884278888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16.781599461784584</v>
      </c>
      <c r="AV185" s="21">
        <f>EXP(-LN(2)/25)*AV184+(1-EXP(-LN(2)/25))/(LN(2)/25)*Calculateur!AQ185*Calculateur!AS185*VLOOKUP('Données projet'!$B$10,Paramètres!$A$1:$I$89,3,0)*0.475*44/12</f>
        <v>0.60893423626216947</v>
      </c>
      <c r="AW185" s="21">
        <f>EXP(-LN(2)/2)*AW184+(1-EXP(-LN(2)/2))/(LN(2)/2)*AQ185*AT185*VLOOKUP('Données projet'!$B$10,Paramètres!$A$1:$I$89,3,0)*0.475*44/12</f>
        <v>6.7572847681072074E-25</v>
      </c>
      <c r="AX185" s="21">
        <f t="shared" si="166"/>
        <v>17.390533698046752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319</v>
      </c>
      <c r="BE185" s="13">
        <f>BD185*VLOOKUP('Données projet'!$B$11,Paramètres!$A$1:$I$89,3,0)*VLOOKUP('Données projet'!$B$11,Paramètres!$A$1:$I$89,5,0)</f>
        <v>253.79640000000001</v>
      </c>
      <c r="BF185" s="13">
        <f t="shared" si="167"/>
        <v>61.39816832228076</v>
      </c>
      <c r="BG185" s="20">
        <f t="shared" si="168"/>
        <v>548.96387316130563</v>
      </c>
      <c r="BH185" s="59">
        <f t="shared" si="116"/>
        <v>842.29720649463889</v>
      </c>
      <c r="BI185" s="59">
        <f ca="1">AVERAGE(OFFSET($BH$3,0,0,'Données projet'!$E$11+1,1))-AVERAGE(OFFSET($H$3,0,0,'Données projet'!$E$11+1,1))</f>
        <v>279.49721661620544</v>
      </c>
      <c r="BJ185" s="59">
        <f t="shared" si="146"/>
        <v>275.18739333988754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7.0528532770453642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7.0528532770453642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266.99999999999983</v>
      </c>
      <c r="BZ185" s="13">
        <f>BY185*VLOOKUP('Données projet'!$B$12,Paramètres!$A$1:$I$89,3,0)*VLOOKUP('Données projet'!$B$12,Paramètres!$A$1:$I$89,5,0)</f>
        <v>258.24239999999986</v>
      </c>
      <c r="CA185" s="13">
        <f t="shared" si="170"/>
        <v>62.347580891234152</v>
      </c>
      <c r="CB185" s="20">
        <f t="shared" si="171"/>
        <v>558.3608833855659</v>
      </c>
      <c r="CC185" s="59">
        <f t="shared" si="119"/>
        <v>851.69421671889927</v>
      </c>
      <c r="CD185" s="59">
        <f ca="1">AVERAGE(OFFSET($CC$3,0,0,'Données projet'!$E$12+1,1))-AVERAGE(OFFSET($H$3,0,0,'Données projet'!$E$12+1,1))</f>
        <v>281.84871057356037</v>
      </c>
      <c r="CE185" s="59">
        <f t="shared" si="148"/>
        <v>276.02211904126887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5.6765448311223867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5.6765448311223867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319</v>
      </c>
      <c r="CU185" s="17">
        <f>CT185*VLOOKUP('Données projet'!$B$13,Paramètres!$A$1:$I$89,3,0)*VLOOKUP('Données projet'!$B$13,Paramètres!$A$1:$I$89,5,0)</f>
        <v>253.79640000000001</v>
      </c>
      <c r="CV185" s="13">
        <f t="shared" si="173"/>
        <v>61.39816832228076</v>
      </c>
      <c r="CW185" s="20">
        <f t="shared" si="174"/>
        <v>548.96387316130563</v>
      </c>
      <c r="CX185" s="59">
        <f t="shared" si="122"/>
        <v>842.29720649463889</v>
      </c>
      <c r="CY185" s="59">
        <f ca="1">AVERAGE(OFFSET($CX$3,0,0,'Données projet'!$E$13+1,1))-AVERAGE(OFFSET($H$3,0,0,'Données projet'!$E$13+1,1))</f>
        <v>279.49721661620544</v>
      </c>
      <c r="CZ185" s="59">
        <f t="shared" si="150"/>
        <v>275.18739333988754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7.0528532770453642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7.0528532770453642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267</v>
      </c>
      <c r="DP185" s="17">
        <f>DO185*VLOOKUP('Données projet'!$B$14,Paramètres!$A$1:$I$89,3,0)*VLOOKUP('Données projet'!$B$14,Paramètres!$A$1:$I$89,5,0)</f>
        <v>270.738</v>
      </c>
      <c r="DQ185" s="13">
        <f t="shared" si="176"/>
        <v>65.005866623551711</v>
      </c>
      <c r="DR185" s="20">
        <f t="shared" si="177"/>
        <v>584.7539010360191</v>
      </c>
      <c r="DS185" s="59">
        <f t="shared" si="125"/>
        <v>878.08723436935247</v>
      </c>
      <c r="DT185" s="59">
        <f ca="1">AVERAGE(OFFSET($DS$3,0,0,'Données projet'!$E$14+1,1))-AVERAGE(OFFSET($H$3,0,0,'Données projet'!$E$14+1,1))</f>
        <v>308.80022073574963</v>
      </c>
      <c r="DU185" s="59">
        <f t="shared" si="152"/>
        <v>183.96267407004115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22.473561905415444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22.473561905415444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266.99999999999983</v>
      </c>
      <c r="EK185" s="17">
        <f>EJ185*VLOOKUP('Données projet'!$B$15,Paramètres!$A$1:$I$89,3,0)*VLOOKUP('Données projet'!$B$15,Paramètres!$A$1:$I$89,5,0)</f>
        <v>174.93839999999989</v>
      </c>
      <c r="EL185" s="13">
        <f t="shared" si="179"/>
        <v>44.194210865203175</v>
      </c>
      <c r="EM185" s="20">
        <f t="shared" si="180"/>
        <v>381.65596392356196</v>
      </c>
      <c r="EN185" s="59">
        <f t="shared" si="128"/>
        <v>674.98929725689527</v>
      </c>
      <c r="EO185" s="59">
        <f ca="1">AVERAGE(OFFSET($EN$3,0,0,'Données projet'!$E$15+1,1))-AVERAGE(OFFSET($H$3,0,0,'Données projet'!$E$15+1,1))</f>
        <v>178.71569711875242</v>
      </c>
      <c r="EP185" s="59">
        <f t="shared" si="154"/>
        <v>178.13848582064168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3.8454013372119364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3.8454013372119364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267</v>
      </c>
      <c r="FF185" s="17">
        <f>FE185*VLOOKUP('Données projet'!$B$16,Paramètres!$A$1:$I$89,3,0)*VLOOKUP('Données projet'!$B$16,Paramètres!$A$1:$I$89,5,0)</f>
        <v>224.92080000000001</v>
      </c>
      <c r="FG185" s="13">
        <f t="shared" si="182"/>
        <v>55.1830164775604</v>
      </c>
      <c r="FH185" s="20">
        <f t="shared" si="183"/>
        <v>487.84748036508444</v>
      </c>
      <c r="FI185" s="59">
        <f t="shared" si="131"/>
        <v>781.18081369841775</v>
      </c>
      <c r="FJ185" s="59">
        <f ca="1">AVERAGE(OFFSET($FI$3,0,0,'Données projet'!$E$16+1,1))-AVERAGE(OFFSET($H$3,0,0,'Données projet'!$E$16+1,1))</f>
        <v>247.22536892257716</v>
      </c>
      <c r="FK185" s="59">
        <f t="shared" si="156"/>
        <v>147.97952262756075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18.670343736806704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18.670343736806704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6">
        <f t="shared" si="110"/>
        <v>488.59298638933842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249.0000000000002</v>
      </c>
      <c r="O186" s="13">
        <f>N186*VLOOKUP('Données projet'!$B$9,Paramètres!$A$1:$I$89,3,0)*VLOOKUP('Données projet'!$B$9,Paramètres!$A$1:$I$89,5,0)</f>
        <v>217.52640000000019</v>
      </c>
      <c r="P186" s="13">
        <f t="shared" si="141"/>
        <v>53.576907690651304</v>
      </c>
      <c r="Q186" s="20">
        <f t="shared" si="162"/>
        <v>472.17159422788467</v>
      </c>
      <c r="R186" s="59">
        <f t="shared" si="109"/>
        <v>765.50492756121798</v>
      </c>
      <c r="S186" s="59">
        <f ca="1">AVERAGE(OFFSET($R$3,0,0,'Données projet'!$E$9+1,1))-AVERAGE(OFFSET($H$3,0,0,'Données projet'!$E$9+1,1))</f>
        <v>253.73326067725128</v>
      </c>
      <c r="T186" s="59">
        <f t="shared" si="142"/>
        <v>317.76427047458026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6.6625512338385366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6.6625512338385366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732.99999999999966</v>
      </c>
      <c r="AJ186" s="13">
        <f>AI186*VLOOKUP('Données projet'!$B$10,Paramètres!$A$1:$I$89,3,0)*VLOOKUP('Données projet'!$B$10,Paramètres!$A$1:$I$89,5,0)</f>
        <v>352.57299999999987</v>
      </c>
      <c r="AK186" s="13">
        <f t="shared" si="164"/>
        <v>82.092092597941644</v>
      </c>
      <c r="AL186" s="20">
        <f t="shared" si="165"/>
        <v>757.04170294141477</v>
      </c>
      <c r="AM186" s="59">
        <f t="shared" si="113"/>
        <v>1050.375036274748</v>
      </c>
      <c r="AN186" s="59">
        <f ca="1">AVERAGE(OFFSET($AM$3,0,0,'Données projet'!$E$10+1,1))-AVERAGE(OFFSET($H$3,0,0,'Données projet'!$E$10+1,1))</f>
        <v>349.65790906807746</v>
      </c>
      <c r="AO186" s="59">
        <f t="shared" si="144"/>
        <v>291.88925884278888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16.452522532103963</v>
      </c>
      <c r="AV186" s="21">
        <f>EXP(-LN(2)/25)*AV185+(1-EXP(-LN(2)/25))/(LN(2)/25)*Calculateur!AQ186*Calculateur!AS186*VLOOKUP('Données projet'!$B$10,Paramètres!$A$1:$I$89,3,0)*0.475*44/12</f>
        <v>0.59228289754912067</v>
      </c>
      <c r="AW186" s="21">
        <f>EXP(-LN(2)/2)*AW185+(1-EXP(-LN(2)/2))/(LN(2)/2)*AQ186*AT186*VLOOKUP('Données projet'!$B$10,Paramètres!$A$1:$I$89,3,0)*0.475*44/12</f>
        <v>4.7781218819371736E-25</v>
      </c>
      <c r="AX186" s="21">
        <f t="shared" si="166"/>
        <v>17.044805429653085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319</v>
      </c>
      <c r="BE186" s="13">
        <f>BD186*VLOOKUP('Données projet'!$B$11,Paramètres!$A$1:$I$89,3,0)*VLOOKUP('Données projet'!$B$11,Paramètres!$A$1:$I$89,5,0)</f>
        <v>253.79640000000001</v>
      </c>
      <c r="BF186" s="13">
        <f t="shared" si="167"/>
        <v>61.39816832228076</v>
      </c>
      <c r="BG186" s="20">
        <f t="shared" si="168"/>
        <v>548.96387316130563</v>
      </c>
      <c r="BH186" s="59">
        <f t="shared" si="116"/>
        <v>842.29720649463889</v>
      </c>
      <c r="BI186" s="59">
        <f ca="1">AVERAGE(OFFSET($BH$3,0,0,'Données projet'!$E$11+1,1))-AVERAGE(OFFSET($H$3,0,0,'Données projet'!$E$11+1,1))</f>
        <v>279.49721661620544</v>
      </c>
      <c r="BJ186" s="59">
        <f t="shared" si="146"/>
        <v>275.18739333988754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6.9145511260982344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6.9145511260982344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266.99999999999983</v>
      </c>
      <c r="BZ186" s="13">
        <f>BY186*VLOOKUP('Données projet'!$B$12,Paramètres!$A$1:$I$89,3,0)*VLOOKUP('Données projet'!$B$12,Paramètres!$A$1:$I$89,5,0)</f>
        <v>258.24239999999986</v>
      </c>
      <c r="CA186" s="13">
        <f t="shared" si="170"/>
        <v>62.347580891234152</v>
      </c>
      <c r="CB186" s="20">
        <f t="shared" si="171"/>
        <v>558.3608833855659</v>
      </c>
      <c r="CC186" s="59">
        <f t="shared" si="119"/>
        <v>851.69421671889927</v>
      </c>
      <c r="CD186" s="59">
        <f ca="1">AVERAGE(OFFSET($CC$3,0,0,'Données projet'!$E$12+1,1))-AVERAGE(OFFSET($H$3,0,0,'Données projet'!$E$12+1,1))</f>
        <v>281.84871057356037</v>
      </c>
      <c r="CE186" s="59">
        <f t="shared" si="148"/>
        <v>276.02211904126887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5.5652312493345448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5.5652312493345448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319</v>
      </c>
      <c r="CU186" s="17">
        <f>CT186*VLOOKUP('Données projet'!$B$13,Paramètres!$A$1:$I$89,3,0)*VLOOKUP('Données projet'!$B$13,Paramètres!$A$1:$I$89,5,0)</f>
        <v>253.79640000000001</v>
      </c>
      <c r="CV186" s="13">
        <f t="shared" si="173"/>
        <v>61.39816832228076</v>
      </c>
      <c r="CW186" s="20">
        <f t="shared" si="174"/>
        <v>548.96387316130563</v>
      </c>
      <c r="CX186" s="59">
        <f t="shared" si="122"/>
        <v>842.29720649463889</v>
      </c>
      <c r="CY186" s="59">
        <f ca="1">AVERAGE(OFFSET($CX$3,0,0,'Données projet'!$E$13+1,1))-AVERAGE(OFFSET($H$3,0,0,'Données projet'!$E$13+1,1))</f>
        <v>279.49721661620544</v>
      </c>
      <c r="CZ186" s="59">
        <f t="shared" si="150"/>
        <v>275.18739333988754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6.9145511260982344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6.9145511260982344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267</v>
      </c>
      <c r="DP186" s="17">
        <f>DO186*VLOOKUP('Données projet'!$B$14,Paramètres!$A$1:$I$89,3,0)*VLOOKUP('Données projet'!$B$14,Paramètres!$A$1:$I$89,5,0)</f>
        <v>270.738</v>
      </c>
      <c r="DQ186" s="13">
        <f t="shared" si="176"/>
        <v>65.005866623551711</v>
      </c>
      <c r="DR186" s="20">
        <f t="shared" si="177"/>
        <v>584.7539010360191</v>
      </c>
      <c r="DS186" s="59">
        <f t="shared" si="125"/>
        <v>878.08723436935247</v>
      </c>
      <c r="DT186" s="59">
        <f ca="1">AVERAGE(OFFSET($DS$3,0,0,'Données projet'!$E$14+1,1))-AVERAGE(OFFSET($H$3,0,0,'Données projet'!$E$14+1,1))</f>
        <v>308.80022073574963</v>
      </c>
      <c r="DU186" s="59">
        <f t="shared" si="152"/>
        <v>183.96267407004115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22.032869063969503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22.032869063969503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266.99999999999983</v>
      </c>
      <c r="EK186" s="17">
        <f>EJ186*VLOOKUP('Données projet'!$B$15,Paramètres!$A$1:$I$89,3,0)*VLOOKUP('Données projet'!$B$15,Paramètres!$A$1:$I$89,5,0)</f>
        <v>174.93839999999989</v>
      </c>
      <c r="EL186" s="13">
        <f t="shared" si="179"/>
        <v>44.194210865203175</v>
      </c>
      <c r="EM186" s="20">
        <f t="shared" si="180"/>
        <v>381.65596392356196</v>
      </c>
      <c r="EN186" s="59">
        <f t="shared" si="128"/>
        <v>674.98929725689527</v>
      </c>
      <c r="EO186" s="59">
        <f ca="1">AVERAGE(OFFSET($EN$3,0,0,'Données projet'!$E$15+1,1))-AVERAGE(OFFSET($H$3,0,0,'Données projet'!$E$15+1,1))</f>
        <v>178.71569711875242</v>
      </c>
      <c r="EP186" s="59">
        <f t="shared" si="154"/>
        <v>178.13848582064168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3.7699953624524309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3.7699953624524309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267</v>
      </c>
      <c r="FF186" s="17">
        <f>FE186*VLOOKUP('Données projet'!$B$16,Paramètres!$A$1:$I$89,3,0)*VLOOKUP('Données projet'!$B$16,Paramètres!$A$1:$I$89,5,0)</f>
        <v>224.92080000000001</v>
      </c>
      <c r="FG186" s="13">
        <f t="shared" si="182"/>
        <v>55.1830164775604</v>
      </c>
      <c r="FH186" s="20">
        <f t="shared" si="183"/>
        <v>487.84748036508444</v>
      </c>
      <c r="FI186" s="59">
        <f t="shared" si="131"/>
        <v>781.18081369841775</v>
      </c>
      <c r="FJ186" s="59">
        <f ca="1">AVERAGE(OFFSET($FI$3,0,0,'Données projet'!$E$16+1,1))-AVERAGE(OFFSET($H$3,0,0,'Données projet'!$E$16+1,1))</f>
        <v>247.22536892257716</v>
      </c>
      <c r="FK186" s="59">
        <f t="shared" si="156"/>
        <v>147.97952262756075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18.304229683913153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18.304229683913153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6">
        <f t="shared" si="110"/>
        <v>489.63322992368012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249.0000000000002</v>
      </c>
      <c r="O187" s="13">
        <f>N187*VLOOKUP('Données projet'!$B$9,Paramètres!$A$1:$I$89,3,0)*VLOOKUP('Données projet'!$B$9,Paramètres!$A$1:$I$89,5,0)</f>
        <v>217.52640000000019</v>
      </c>
      <c r="P187" s="13">
        <f t="shared" si="141"/>
        <v>53.576907690651304</v>
      </c>
      <c r="Q187" s="20">
        <f t="shared" si="162"/>
        <v>472.17159422788467</v>
      </c>
      <c r="R187" s="59">
        <f t="shared" si="109"/>
        <v>765.50492756121798</v>
      </c>
      <c r="S187" s="59">
        <f ca="1">AVERAGE(OFFSET($R$3,0,0,'Données projet'!$E$9+1,1))-AVERAGE(OFFSET($H$3,0,0,'Données projet'!$E$9+1,1))</f>
        <v>253.73326067725128</v>
      </c>
      <c r="T187" s="59">
        <f t="shared" si="142"/>
        <v>317.76427047458026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6.5319026678979535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6.5319026678979535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732.99999999999966</v>
      </c>
      <c r="AJ187" s="13">
        <f>AI187*VLOOKUP('Données projet'!$B$10,Paramètres!$A$1:$I$89,3,0)*VLOOKUP('Données projet'!$B$10,Paramètres!$A$1:$I$89,5,0)</f>
        <v>352.57299999999987</v>
      </c>
      <c r="AK187" s="13">
        <f t="shared" si="164"/>
        <v>82.092092597941644</v>
      </c>
      <c r="AL187" s="20">
        <f t="shared" si="165"/>
        <v>757.04170294141477</v>
      </c>
      <c r="AM187" s="59">
        <f t="shared" si="113"/>
        <v>1050.375036274748</v>
      </c>
      <c r="AN187" s="59">
        <f ca="1">AVERAGE(OFFSET($AM$3,0,0,'Données projet'!$E$10+1,1))-AVERAGE(OFFSET($H$3,0,0,'Données projet'!$E$10+1,1))</f>
        <v>349.65790906807746</v>
      </c>
      <c r="AO187" s="59">
        <f t="shared" si="144"/>
        <v>291.88925884278888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16.12989860029727</v>
      </c>
      <c r="AV187" s="21">
        <f>EXP(-LN(2)/25)*AV186+(1-EXP(-LN(2)/25))/(LN(2)/25)*Calculateur!AQ187*Calculateur!AS187*VLOOKUP('Données projet'!$B$10,Paramètres!$A$1:$I$89,3,0)*0.475*44/12</f>
        <v>0.57608689056883611</v>
      </c>
      <c r="AW187" s="21">
        <f>EXP(-LN(2)/2)*AW186+(1-EXP(-LN(2)/2))/(LN(2)/2)*AQ187*AT187*VLOOKUP('Données projet'!$B$10,Paramètres!$A$1:$I$89,3,0)*0.475*44/12</f>
        <v>3.3786423840536037E-25</v>
      </c>
      <c r="AX187" s="21">
        <f t="shared" si="166"/>
        <v>16.705985490866105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319</v>
      </c>
      <c r="BE187" s="13">
        <f>BD187*VLOOKUP('Données projet'!$B$11,Paramètres!$A$1:$I$89,3,0)*VLOOKUP('Données projet'!$B$11,Paramètres!$A$1:$I$89,5,0)</f>
        <v>253.79640000000001</v>
      </c>
      <c r="BF187" s="13">
        <f t="shared" si="167"/>
        <v>61.39816832228076</v>
      </c>
      <c r="BG187" s="20">
        <f t="shared" si="168"/>
        <v>548.96387316130563</v>
      </c>
      <c r="BH187" s="59">
        <f t="shared" si="116"/>
        <v>842.29720649463889</v>
      </c>
      <c r="BI187" s="59">
        <f ca="1">AVERAGE(OFFSET($BH$3,0,0,'Données projet'!$E$11+1,1))-AVERAGE(OFFSET($H$3,0,0,'Données projet'!$E$11+1,1))</f>
        <v>279.49721661620544</v>
      </c>
      <c r="BJ187" s="59">
        <f t="shared" si="146"/>
        <v>275.18739333988754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6.7789609959751953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6.7789609959751953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266.99999999999983</v>
      </c>
      <c r="BZ187" s="13">
        <f>BY187*VLOOKUP('Données projet'!$B$12,Paramètres!$A$1:$I$89,3,0)*VLOOKUP('Données projet'!$B$12,Paramètres!$A$1:$I$89,5,0)</f>
        <v>258.24239999999986</v>
      </c>
      <c r="CA187" s="13">
        <f t="shared" si="170"/>
        <v>62.347580891234152</v>
      </c>
      <c r="CB187" s="20">
        <f t="shared" si="171"/>
        <v>558.3608833855659</v>
      </c>
      <c r="CC187" s="59">
        <f t="shared" si="119"/>
        <v>851.69421671889927</v>
      </c>
      <c r="CD187" s="59">
        <f ca="1">AVERAGE(OFFSET($CC$3,0,0,'Données projet'!$E$12+1,1))-AVERAGE(OFFSET($H$3,0,0,'Données projet'!$E$12+1,1))</f>
        <v>281.84871057356037</v>
      </c>
      <c r="CE187" s="59">
        <f t="shared" si="148"/>
        <v>276.02211904126887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5.4561004589909814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5.4561004589909814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319</v>
      </c>
      <c r="CU187" s="17">
        <f>CT187*VLOOKUP('Données projet'!$B$13,Paramètres!$A$1:$I$89,3,0)*VLOOKUP('Données projet'!$B$13,Paramètres!$A$1:$I$89,5,0)</f>
        <v>253.79640000000001</v>
      </c>
      <c r="CV187" s="13">
        <f t="shared" si="173"/>
        <v>61.39816832228076</v>
      </c>
      <c r="CW187" s="20">
        <f t="shared" si="174"/>
        <v>548.96387316130563</v>
      </c>
      <c r="CX187" s="59">
        <f t="shared" si="122"/>
        <v>842.29720649463889</v>
      </c>
      <c r="CY187" s="59">
        <f ca="1">AVERAGE(OFFSET($CX$3,0,0,'Données projet'!$E$13+1,1))-AVERAGE(OFFSET($H$3,0,0,'Données projet'!$E$13+1,1))</f>
        <v>279.49721661620544</v>
      </c>
      <c r="CZ187" s="59">
        <f t="shared" si="150"/>
        <v>275.18739333988754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6.7789609959751953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6.7789609959751953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267</v>
      </c>
      <c r="DP187" s="17">
        <f>DO187*VLOOKUP('Données projet'!$B$14,Paramètres!$A$1:$I$89,3,0)*VLOOKUP('Données projet'!$B$14,Paramètres!$A$1:$I$89,5,0)</f>
        <v>270.738</v>
      </c>
      <c r="DQ187" s="13">
        <f t="shared" si="176"/>
        <v>65.005866623551711</v>
      </c>
      <c r="DR187" s="20">
        <f t="shared" si="177"/>
        <v>584.7539010360191</v>
      </c>
      <c r="DS187" s="59">
        <f t="shared" si="125"/>
        <v>878.08723436935247</v>
      </c>
      <c r="DT187" s="59">
        <f ca="1">AVERAGE(OFFSET($DS$3,0,0,'Données projet'!$E$14+1,1))-AVERAGE(OFFSET($H$3,0,0,'Données projet'!$E$14+1,1))</f>
        <v>308.80022073574963</v>
      </c>
      <c r="DU187" s="59">
        <f t="shared" si="152"/>
        <v>183.96267407004115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21.600817940348225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21.600817940348225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266.99999999999983</v>
      </c>
      <c r="EK187" s="17">
        <f>EJ187*VLOOKUP('Données projet'!$B$15,Paramètres!$A$1:$I$89,3,0)*VLOOKUP('Données projet'!$B$15,Paramètres!$A$1:$I$89,5,0)</f>
        <v>174.93839999999989</v>
      </c>
      <c r="EL187" s="13">
        <f t="shared" si="179"/>
        <v>44.194210865203175</v>
      </c>
      <c r="EM187" s="20">
        <f t="shared" si="180"/>
        <v>381.65596392356196</v>
      </c>
      <c r="EN187" s="59">
        <f t="shared" si="128"/>
        <v>674.98929725689527</v>
      </c>
      <c r="EO187" s="59">
        <f ca="1">AVERAGE(OFFSET($EN$3,0,0,'Données projet'!$E$15+1,1))-AVERAGE(OFFSET($H$3,0,0,'Données projet'!$E$15+1,1))</f>
        <v>178.71569711875242</v>
      </c>
      <c r="EP187" s="59">
        <f t="shared" si="154"/>
        <v>178.13848582064168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3.696068052864856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3.696068052864856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267</v>
      </c>
      <c r="FF187" s="17">
        <f>FE187*VLOOKUP('Données projet'!$B$16,Paramètres!$A$1:$I$89,3,0)*VLOOKUP('Données projet'!$B$16,Paramètres!$A$1:$I$89,5,0)</f>
        <v>224.92080000000001</v>
      </c>
      <c r="FG187" s="13">
        <f t="shared" si="182"/>
        <v>55.1830164775604</v>
      </c>
      <c r="FH187" s="20">
        <f t="shared" si="183"/>
        <v>487.84748036508444</v>
      </c>
      <c r="FI187" s="59">
        <f t="shared" si="131"/>
        <v>781.18081369841775</v>
      </c>
      <c r="FJ187" s="59">
        <f ca="1">AVERAGE(OFFSET($FI$3,0,0,'Données projet'!$E$16+1,1))-AVERAGE(OFFSET($H$3,0,0,'Données projet'!$E$16+1,1))</f>
        <v>247.22536892257716</v>
      </c>
      <c r="FK187" s="59">
        <f t="shared" si="156"/>
        <v>147.97952262756075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17.945294904289323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17.945294904289323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6">
        <f t="shared" si="110"/>
        <v>490.67334539342403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249.0000000000002</v>
      </c>
      <c r="O188" s="13">
        <f>N188*VLOOKUP('Données projet'!$B$9,Paramètres!$A$1:$I$89,3,0)*VLOOKUP('Données projet'!$B$9,Paramètres!$A$1:$I$89,5,0)</f>
        <v>217.52640000000019</v>
      </c>
      <c r="P188" s="13">
        <f t="shared" si="141"/>
        <v>53.576907690651304</v>
      </c>
      <c r="Q188" s="20">
        <f t="shared" si="162"/>
        <v>472.17159422788467</v>
      </c>
      <c r="R188" s="59">
        <f t="shared" si="109"/>
        <v>765.50492756121798</v>
      </c>
      <c r="S188" s="59">
        <f ca="1">AVERAGE(OFFSET($R$3,0,0,'Données projet'!$E$9+1,1))-AVERAGE(OFFSET($H$3,0,0,'Données projet'!$E$9+1,1))</f>
        <v>253.73326067725128</v>
      </c>
      <c r="T188" s="59">
        <f t="shared" si="142"/>
        <v>317.76427047458026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6.4038160406477083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6.4038160406477083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732.99999999999966</v>
      </c>
      <c r="AJ188" s="13">
        <f>AI188*VLOOKUP('Données projet'!$B$10,Paramètres!$A$1:$I$89,3,0)*VLOOKUP('Données projet'!$B$10,Paramètres!$A$1:$I$89,5,0)</f>
        <v>352.57299999999987</v>
      </c>
      <c r="AK188" s="13">
        <f t="shared" si="164"/>
        <v>82.092092597941644</v>
      </c>
      <c r="AL188" s="20">
        <f t="shared" si="165"/>
        <v>757.04170294141477</v>
      </c>
      <c r="AM188" s="59">
        <f t="shared" si="113"/>
        <v>1050.375036274748</v>
      </c>
      <c r="AN188" s="59">
        <f ca="1">AVERAGE(OFFSET($AM$3,0,0,'Données projet'!$E$10+1,1))-AVERAGE(OFFSET($H$3,0,0,'Données projet'!$E$10+1,1))</f>
        <v>349.65790906807746</v>
      </c>
      <c r="AO188" s="59">
        <f t="shared" si="144"/>
        <v>291.88925884278888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15.81360112701214</v>
      </c>
      <c r="AV188" s="21">
        <f>EXP(-LN(2)/25)*AV187+(1-EXP(-LN(2)/25))/(LN(2)/25)*Calculateur!AQ188*Calculateur!AS188*VLOOKUP('Données projet'!$B$10,Paramètres!$A$1:$I$89,3,0)*0.475*44/12</f>
        <v>0.56033376425113834</v>
      </c>
      <c r="AW188" s="21">
        <f>EXP(-LN(2)/2)*AW187+(1-EXP(-LN(2)/2))/(LN(2)/2)*AQ188*AT188*VLOOKUP('Données projet'!$B$10,Paramètres!$A$1:$I$89,3,0)*0.475*44/12</f>
        <v>2.3890609409685868E-25</v>
      </c>
      <c r="AX188" s="21">
        <f t="shared" si="166"/>
        <v>16.373934891263279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319</v>
      </c>
      <c r="BE188" s="13">
        <f>BD188*VLOOKUP('Données projet'!$B$11,Paramètres!$A$1:$I$89,3,0)*VLOOKUP('Données projet'!$B$11,Paramètres!$A$1:$I$89,5,0)</f>
        <v>253.79640000000001</v>
      </c>
      <c r="BF188" s="13">
        <f t="shared" si="167"/>
        <v>61.39816832228076</v>
      </c>
      <c r="BG188" s="20">
        <f t="shared" si="168"/>
        <v>548.96387316130563</v>
      </c>
      <c r="BH188" s="59">
        <f t="shared" si="116"/>
        <v>842.29720649463889</v>
      </c>
      <c r="BI188" s="59">
        <f ca="1">AVERAGE(OFFSET($BH$3,0,0,'Données projet'!$E$11+1,1))-AVERAGE(OFFSET($H$3,0,0,'Données projet'!$E$11+1,1))</f>
        <v>279.49721661620544</v>
      </c>
      <c r="BJ188" s="59">
        <f t="shared" si="146"/>
        <v>275.18739333988754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6.6460297056020554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6.6460297056020554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266.99999999999983</v>
      </c>
      <c r="BZ188" s="13">
        <f>BY188*VLOOKUP('Données projet'!$B$12,Paramètres!$A$1:$I$89,3,0)*VLOOKUP('Données projet'!$B$12,Paramètres!$A$1:$I$89,5,0)</f>
        <v>258.24239999999986</v>
      </c>
      <c r="CA188" s="13">
        <f t="shared" si="170"/>
        <v>62.347580891234152</v>
      </c>
      <c r="CB188" s="20">
        <f t="shared" si="171"/>
        <v>558.3608833855659</v>
      </c>
      <c r="CC188" s="59">
        <f t="shared" si="119"/>
        <v>851.69421671889927</v>
      </c>
      <c r="CD188" s="59">
        <f ca="1">AVERAGE(OFFSET($CC$3,0,0,'Données projet'!$E$12+1,1))-AVERAGE(OFFSET($H$3,0,0,'Données projet'!$E$12+1,1))</f>
        <v>281.84871057356037</v>
      </c>
      <c r="CE188" s="59">
        <f t="shared" si="148"/>
        <v>276.02211904126887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5.3491096568828462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5.3491096568828462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319</v>
      </c>
      <c r="CU188" s="17">
        <f>CT188*VLOOKUP('Données projet'!$B$13,Paramètres!$A$1:$I$89,3,0)*VLOOKUP('Données projet'!$B$13,Paramètres!$A$1:$I$89,5,0)</f>
        <v>253.79640000000001</v>
      </c>
      <c r="CV188" s="13">
        <f t="shared" si="173"/>
        <v>61.39816832228076</v>
      </c>
      <c r="CW188" s="20">
        <f t="shared" si="174"/>
        <v>548.96387316130563</v>
      </c>
      <c r="CX188" s="59">
        <f t="shared" si="122"/>
        <v>842.29720649463889</v>
      </c>
      <c r="CY188" s="59">
        <f ca="1">AVERAGE(OFFSET($CX$3,0,0,'Données projet'!$E$13+1,1))-AVERAGE(OFFSET($H$3,0,0,'Données projet'!$E$13+1,1))</f>
        <v>279.49721661620544</v>
      </c>
      <c r="CZ188" s="59">
        <f t="shared" si="150"/>
        <v>275.18739333988754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6.6460297056020554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6.6460297056020554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267</v>
      </c>
      <c r="DP188" s="17">
        <f>DO188*VLOOKUP('Données projet'!$B$14,Paramètres!$A$1:$I$89,3,0)*VLOOKUP('Données projet'!$B$14,Paramètres!$A$1:$I$89,5,0)</f>
        <v>270.738</v>
      </c>
      <c r="DQ188" s="13">
        <f t="shared" si="176"/>
        <v>65.005866623551711</v>
      </c>
      <c r="DR188" s="20">
        <f t="shared" si="177"/>
        <v>584.7539010360191</v>
      </c>
      <c r="DS188" s="59">
        <f t="shared" si="125"/>
        <v>878.08723436935247</v>
      </c>
      <c r="DT188" s="59">
        <f ca="1">AVERAGE(OFFSET($DS$3,0,0,'Données projet'!$E$14+1,1))-AVERAGE(OFFSET($H$3,0,0,'Données projet'!$E$14+1,1))</f>
        <v>308.80022073574963</v>
      </c>
      <c r="DU188" s="59">
        <f t="shared" si="152"/>
        <v>183.96267407004115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21.177239075735997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21.177239075735997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266.99999999999983</v>
      </c>
      <c r="EK188" s="17">
        <f>EJ188*VLOOKUP('Données projet'!$B$15,Paramètres!$A$1:$I$89,3,0)*VLOOKUP('Données projet'!$B$15,Paramètres!$A$1:$I$89,5,0)</f>
        <v>174.93839999999989</v>
      </c>
      <c r="EL188" s="13">
        <f t="shared" si="179"/>
        <v>44.194210865203175</v>
      </c>
      <c r="EM188" s="20">
        <f t="shared" si="180"/>
        <v>381.65596392356196</v>
      </c>
      <c r="EN188" s="59">
        <f t="shared" si="128"/>
        <v>674.98929725689527</v>
      </c>
      <c r="EO188" s="59">
        <f ca="1">AVERAGE(OFFSET($EN$3,0,0,'Données projet'!$E$15+1,1))-AVERAGE(OFFSET($H$3,0,0,'Données projet'!$E$15+1,1))</f>
        <v>178.71569711875242</v>
      </c>
      <c r="EP188" s="59">
        <f t="shared" si="154"/>
        <v>178.13848582064168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3.6235904127270868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3.6235904127270868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267</v>
      </c>
      <c r="FF188" s="17">
        <f>FE188*VLOOKUP('Données projet'!$B$16,Paramètres!$A$1:$I$89,3,0)*VLOOKUP('Données projet'!$B$16,Paramètres!$A$1:$I$89,5,0)</f>
        <v>224.92080000000001</v>
      </c>
      <c r="FG188" s="13">
        <f t="shared" si="182"/>
        <v>55.1830164775604</v>
      </c>
      <c r="FH188" s="20">
        <f t="shared" si="183"/>
        <v>487.84748036508444</v>
      </c>
      <c r="FI188" s="59">
        <f t="shared" si="131"/>
        <v>781.18081369841775</v>
      </c>
      <c r="FJ188" s="59">
        <f ca="1">AVERAGE(OFFSET($FI$3,0,0,'Données projet'!$E$16+1,1))-AVERAGE(OFFSET($H$3,0,0,'Données projet'!$E$16+1,1))</f>
        <v>247.22536892257716</v>
      </c>
      <c r="FK188" s="59">
        <f t="shared" si="156"/>
        <v>147.97952262756075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17.593398616765317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17.593398616765317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6">
        <f t="shared" si="110"/>
        <v>491.71333357115242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249.0000000000002</v>
      </c>
      <c r="O189" s="13">
        <f>N189*VLOOKUP('Données projet'!$B$9,Paramètres!$A$1:$I$89,3,0)*VLOOKUP('Données projet'!$B$9,Paramètres!$A$1:$I$89,5,0)</f>
        <v>217.52640000000019</v>
      </c>
      <c r="P189" s="13">
        <f t="shared" si="141"/>
        <v>53.576907690651304</v>
      </c>
      <c r="Q189" s="20">
        <f t="shared" si="162"/>
        <v>472.17159422788467</v>
      </c>
      <c r="R189" s="59">
        <f t="shared" si="109"/>
        <v>765.50492756121798</v>
      </c>
      <c r="S189" s="59">
        <f ca="1">AVERAGE(OFFSET($R$3,0,0,'Données projet'!$E$9+1,1))-AVERAGE(OFFSET($H$3,0,0,'Données projet'!$E$9+1,1))</f>
        <v>253.73326067725128</v>
      </c>
      <c r="T189" s="59">
        <f t="shared" si="142"/>
        <v>317.76427047458026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6.2782411140327117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6.2782411140327117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732.99999999999966</v>
      </c>
      <c r="AJ189" s="13">
        <f>AI189*VLOOKUP('Données projet'!$B$10,Paramètres!$A$1:$I$89,3,0)*VLOOKUP('Données projet'!$B$10,Paramètres!$A$1:$I$89,5,0)</f>
        <v>352.57299999999987</v>
      </c>
      <c r="AK189" s="13">
        <f t="shared" si="164"/>
        <v>82.092092597941644</v>
      </c>
      <c r="AL189" s="20">
        <f t="shared" si="165"/>
        <v>757.04170294141477</v>
      </c>
      <c r="AM189" s="59">
        <f t="shared" si="113"/>
        <v>1050.375036274748</v>
      </c>
      <c r="AN189" s="59">
        <f ca="1">AVERAGE(OFFSET($AM$3,0,0,'Données projet'!$E$10+1,1))-AVERAGE(OFFSET($H$3,0,0,'Données projet'!$E$10+1,1))</f>
        <v>349.65790906807746</v>
      </c>
      <c r="AO189" s="59">
        <f t="shared" si="144"/>
        <v>291.88925884278888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15.50350605425572</v>
      </c>
      <c r="AV189" s="21">
        <f>EXP(-LN(2)/25)*AV188+(1-EXP(-LN(2)/25))/(LN(2)/25)*Calculateur!AQ189*Calculateur!AS189*VLOOKUP('Données projet'!$B$10,Paramètres!$A$1:$I$89,3,0)*0.475*44/12</f>
        <v>0.54501140800101899</v>
      </c>
      <c r="AW189" s="21">
        <f>EXP(-LN(2)/2)*AW188+(1-EXP(-LN(2)/2))/(LN(2)/2)*AQ189*AT189*VLOOKUP('Données projet'!$B$10,Paramètres!$A$1:$I$89,3,0)*0.475*44/12</f>
        <v>1.6893211920268018E-25</v>
      </c>
      <c r="AX189" s="21">
        <f t="shared" si="166"/>
        <v>16.04851746225674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319</v>
      </c>
      <c r="BE189" s="13">
        <f>BD189*VLOOKUP('Données projet'!$B$11,Paramètres!$A$1:$I$89,3,0)*VLOOKUP('Données projet'!$B$11,Paramètres!$A$1:$I$89,5,0)</f>
        <v>253.79640000000001</v>
      </c>
      <c r="BF189" s="13">
        <f t="shared" si="167"/>
        <v>61.39816832228076</v>
      </c>
      <c r="BG189" s="20">
        <f t="shared" si="168"/>
        <v>548.96387316130563</v>
      </c>
      <c r="BH189" s="59">
        <f t="shared" si="116"/>
        <v>842.29720649463889</v>
      </c>
      <c r="BI189" s="59">
        <f ca="1">AVERAGE(OFFSET($BH$3,0,0,'Données projet'!$E$11+1,1))-AVERAGE(OFFSET($H$3,0,0,'Données projet'!$E$11+1,1))</f>
        <v>279.49721661620544</v>
      </c>
      <c r="BJ189" s="59">
        <f t="shared" si="146"/>
        <v>275.18739333988754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6.5157051167530522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6.5157051167530522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266.99999999999983</v>
      </c>
      <c r="BZ189" s="13">
        <f>BY189*VLOOKUP('Données projet'!$B$12,Paramètres!$A$1:$I$89,3,0)*VLOOKUP('Données projet'!$B$12,Paramètres!$A$1:$I$89,5,0)</f>
        <v>258.24239999999986</v>
      </c>
      <c r="CA189" s="13">
        <f t="shared" si="170"/>
        <v>62.347580891234152</v>
      </c>
      <c r="CB189" s="20">
        <f t="shared" si="171"/>
        <v>558.3608833855659</v>
      </c>
      <c r="CC189" s="59">
        <f t="shared" si="119"/>
        <v>851.69421671889927</v>
      </c>
      <c r="CD189" s="59">
        <f ca="1">AVERAGE(OFFSET($CC$3,0,0,'Données projet'!$E$12+1,1))-AVERAGE(OFFSET($H$3,0,0,'Données projet'!$E$12+1,1))</f>
        <v>281.84871057356037</v>
      </c>
      <c r="CE189" s="59">
        <f t="shared" si="148"/>
        <v>276.02211904126887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5.2442168791461059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5.2442168791461059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319</v>
      </c>
      <c r="CU189" s="17">
        <f>CT189*VLOOKUP('Données projet'!$B$13,Paramètres!$A$1:$I$89,3,0)*VLOOKUP('Données projet'!$B$13,Paramètres!$A$1:$I$89,5,0)</f>
        <v>253.79640000000001</v>
      </c>
      <c r="CV189" s="13">
        <f t="shared" si="173"/>
        <v>61.39816832228076</v>
      </c>
      <c r="CW189" s="20">
        <f t="shared" si="174"/>
        <v>548.96387316130563</v>
      </c>
      <c r="CX189" s="59">
        <f t="shared" si="122"/>
        <v>842.29720649463889</v>
      </c>
      <c r="CY189" s="59">
        <f ca="1">AVERAGE(OFFSET($CX$3,0,0,'Données projet'!$E$13+1,1))-AVERAGE(OFFSET($H$3,0,0,'Données projet'!$E$13+1,1))</f>
        <v>279.49721661620544</v>
      </c>
      <c r="CZ189" s="59">
        <f t="shared" si="150"/>
        <v>275.18739333988754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6.5157051167530522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6.5157051167530522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267</v>
      </c>
      <c r="DP189" s="17">
        <f>DO189*VLOOKUP('Données projet'!$B$14,Paramètres!$A$1:$I$89,3,0)*VLOOKUP('Données projet'!$B$14,Paramètres!$A$1:$I$89,5,0)</f>
        <v>270.738</v>
      </c>
      <c r="DQ189" s="13">
        <f t="shared" si="176"/>
        <v>65.005866623551711</v>
      </c>
      <c r="DR189" s="20">
        <f t="shared" si="177"/>
        <v>584.7539010360191</v>
      </c>
      <c r="DS189" s="59">
        <f t="shared" si="125"/>
        <v>878.08723436935247</v>
      </c>
      <c r="DT189" s="59">
        <f ca="1">AVERAGE(OFFSET($DS$3,0,0,'Données projet'!$E$14+1,1))-AVERAGE(OFFSET($H$3,0,0,'Données projet'!$E$14+1,1))</f>
        <v>308.80022073574963</v>
      </c>
      <c r="DU189" s="59">
        <f t="shared" si="152"/>
        <v>183.96267407004115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20.761966334301217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20.761966334301217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266.99999999999983</v>
      </c>
      <c r="EK189" s="17">
        <f>EJ189*VLOOKUP('Données projet'!$B$15,Paramètres!$A$1:$I$89,3,0)*VLOOKUP('Données projet'!$B$15,Paramètres!$A$1:$I$89,5,0)</f>
        <v>174.93839999999989</v>
      </c>
      <c r="EL189" s="13">
        <f t="shared" si="179"/>
        <v>44.194210865203175</v>
      </c>
      <c r="EM189" s="20">
        <f t="shared" si="180"/>
        <v>381.65596392356196</v>
      </c>
      <c r="EN189" s="59">
        <f t="shared" si="128"/>
        <v>674.98929725689527</v>
      </c>
      <c r="EO189" s="59">
        <f ca="1">AVERAGE(OFFSET($EN$3,0,0,'Données projet'!$E$15+1,1))-AVERAGE(OFFSET($H$3,0,0,'Données projet'!$E$15+1,1))</f>
        <v>178.71569711875242</v>
      </c>
      <c r="EP189" s="59">
        <f t="shared" si="154"/>
        <v>178.13848582064168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3.5525340149054241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3.5525340149054241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267</v>
      </c>
      <c r="FF189" s="17">
        <f>FE189*VLOOKUP('Données projet'!$B$16,Paramètres!$A$1:$I$89,3,0)*VLOOKUP('Données projet'!$B$16,Paramètres!$A$1:$I$89,5,0)</f>
        <v>224.92080000000001</v>
      </c>
      <c r="FG189" s="13">
        <f t="shared" si="182"/>
        <v>55.1830164775604</v>
      </c>
      <c r="FH189" s="20">
        <f t="shared" si="183"/>
        <v>487.84748036508444</v>
      </c>
      <c r="FI189" s="59">
        <f t="shared" si="131"/>
        <v>781.18081369841775</v>
      </c>
      <c r="FJ189" s="59">
        <f ca="1">AVERAGE(OFFSET($FI$3,0,0,'Données projet'!$E$16+1,1))-AVERAGE(OFFSET($H$3,0,0,'Données projet'!$E$16+1,1))</f>
        <v>247.22536892257716</v>
      </c>
      <c r="FK189" s="59">
        <f t="shared" si="156"/>
        <v>147.97952262756075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17.248402800804115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17.248402800804115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6">
        <f t="shared" si="110"/>
        <v>492.75319522065962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249.0000000000002</v>
      </c>
      <c r="O190" s="13">
        <f>N190*VLOOKUP('Données projet'!$B$9,Paramètres!$A$1:$I$89,3,0)*VLOOKUP('Données projet'!$B$9,Paramètres!$A$1:$I$89,5,0)</f>
        <v>217.52640000000019</v>
      </c>
      <c r="P190" s="13">
        <f t="shared" si="141"/>
        <v>53.576907690651304</v>
      </c>
      <c r="Q190" s="20">
        <f t="shared" si="162"/>
        <v>472.17159422788467</v>
      </c>
      <c r="R190" s="59">
        <f t="shared" si="109"/>
        <v>765.50492756121798</v>
      </c>
      <c r="S190" s="59">
        <f ca="1">AVERAGE(OFFSET($R$3,0,0,'Données projet'!$E$9+1,1))-AVERAGE(OFFSET($H$3,0,0,'Données projet'!$E$9+1,1))</f>
        <v>253.73326067725128</v>
      </c>
      <c r="T190" s="59">
        <f t="shared" si="142"/>
        <v>317.76427047458026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6.155128635135493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6.155128635135493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732.99999999999966</v>
      </c>
      <c r="AJ190" s="13">
        <f>AI190*VLOOKUP('Données projet'!$B$10,Paramètres!$A$1:$I$89,3,0)*VLOOKUP('Données projet'!$B$10,Paramètres!$A$1:$I$89,5,0)</f>
        <v>352.57299999999987</v>
      </c>
      <c r="AK190" s="13">
        <f t="shared" si="164"/>
        <v>82.092092597941644</v>
      </c>
      <c r="AL190" s="20">
        <f t="shared" si="165"/>
        <v>757.04170294141477</v>
      </c>
      <c r="AM190" s="59">
        <f t="shared" si="113"/>
        <v>1050.375036274748</v>
      </c>
      <c r="AN190" s="59">
        <f ca="1">AVERAGE(OFFSET($AM$3,0,0,'Données projet'!$E$10+1,1))-AVERAGE(OFFSET($H$3,0,0,'Données projet'!$E$10+1,1))</f>
        <v>349.65790906807746</v>
      </c>
      <c r="AO190" s="59">
        <f t="shared" si="144"/>
        <v>291.88925884278888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15.199491756736736</v>
      </c>
      <c r="AV190" s="21">
        <f>EXP(-LN(2)/25)*AV189+(1-EXP(-LN(2)/25))/(LN(2)/25)*Calculateur!AQ190*Calculateur!AS190*VLOOKUP('Données projet'!$B$10,Paramètres!$A$1:$I$89,3,0)*0.475*44/12</f>
        <v>0.53010804238832687</v>
      </c>
      <c r="AW190" s="21">
        <f>EXP(-LN(2)/2)*AW189+(1-EXP(-LN(2)/2))/(LN(2)/2)*AQ190*AT190*VLOOKUP('Données projet'!$B$10,Paramètres!$A$1:$I$89,3,0)*0.475*44/12</f>
        <v>1.1945304704842934E-25</v>
      </c>
      <c r="AX190" s="21">
        <f t="shared" si="166"/>
        <v>15.729599799125062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319</v>
      </c>
      <c r="BE190" s="13">
        <f>BD190*VLOOKUP('Données projet'!$B$11,Paramètres!$A$1:$I$89,3,0)*VLOOKUP('Données projet'!$B$11,Paramètres!$A$1:$I$89,5,0)</f>
        <v>253.79640000000001</v>
      </c>
      <c r="BF190" s="13">
        <f t="shared" si="167"/>
        <v>61.39816832228076</v>
      </c>
      <c r="BG190" s="20">
        <f t="shared" si="168"/>
        <v>548.96387316130563</v>
      </c>
      <c r="BH190" s="59">
        <f t="shared" si="116"/>
        <v>842.29720649463889</v>
      </c>
      <c r="BI190" s="59">
        <f ca="1">AVERAGE(OFFSET($BH$3,0,0,'Données projet'!$E$11+1,1))-AVERAGE(OFFSET($H$3,0,0,'Données projet'!$E$11+1,1))</f>
        <v>279.49721661620544</v>
      </c>
      <c r="BJ190" s="59">
        <f t="shared" si="146"/>
        <v>275.18739333988754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6.3879361136012278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6.3879361136012278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266.99999999999983</v>
      </c>
      <c r="BZ190" s="13">
        <f>BY190*VLOOKUP('Données projet'!$B$12,Paramètres!$A$1:$I$89,3,0)*VLOOKUP('Données projet'!$B$12,Paramètres!$A$1:$I$89,5,0)</f>
        <v>258.24239999999986</v>
      </c>
      <c r="CA190" s="13">
        <f t="shared" si="170"/>
        <v>62.347580891234152</v>
      </c>
      <c r="CB190" s="20">
        <f t="shared" si="171"/>
        <v>558.3608833855659</v>
      </c>
      <c r="CC190" s="59">
        <f t="shared" si="119"/>
        <v>851.69421671889927</v>
      </c>
      <c r="CD190" s="59">
        <f ca="1">AVERAGE(OFFSET($CC$3,0,0,'Données projet'!$E$12+1,1))-AVERAGE(OFFSET($H$3,0,0,'Données projet'!$E$12+1,1))</f>
        <v>281.84871057356037</v>
      </c>
      <c r="CE190" s="59">
        <f t="shared" si="148"/>
        <v>276.02211904126887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5.141380984802506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5.141380984802506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319</v>
      </c>
      <c r="CU190" s="17">
        <f>CT190*VLOOKUP('Données projet'!$B$13,Paramètres!$A$1:$I$89,3,0)*VLOOKUP('Données projet'!$B$13,Paramètres!$A$1:$I$89,5,0)</f>
        <v>253.79640000000001</v>
      </c>
      <c r="CV190" s="13">
        <f t="shared" si="173"/>
        <v>61.39816832228076</v>
      </c>
      <c r="CW190" s="20">
        <f t="shared" si="174"/>
        <v>548.96387316130563</v>
      </c>
      <c r="CX190" s="59">
        <f t="shared" si="122"/>
        <v>842.29720649463889</v>
      </c>
      <c r="CY190" s="59">
        <f ca="1">AVERAGE(OFFSET($CX$3,0,0,'Données projet'!$E$13+1,1))-AVERAGE(OFFSET($H$3,0,0,'Données projet'!$E$13+1,1))</f>
        <v>279.49721661620544</v>
      </c>
      <c r="CZ190" s="59">
        <f t="shared" si="150"/>
        <v>275.18739333988754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6.3879361136012278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6.3879361136012278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267</v>
      </c>
      <c r="DP190" s="17">
        <f>DO190*VLOOKUP('Données projet'!$B$14,Paramètres!$A$1:$I$89,3,0)*VLOOKUP('Données projet'!$B$14,Paramètres!$A$1:$I$89,5,0)</f>
        <v>270.738</v>
      </c>
      <c r="DQ190" s="13">
        <f t="shared" si="176"/>
        <v>65.005866623551711</v>
      </c>
      <c r="DR190" s="20">
        <f t="shared" si="177"/>
        <v>584.7539010360191</v>
      </c>
      <c r="DS190" s="59">
        <f t="shared" si="125"/>
        <v>878.08723436935247</v>
      </c>
      <c r="DT190" s="59">
        <f ca="1">AVERAGE(OFFSET($DS$3,0,0,'Données projet'!$E$14+1,1))-AVERAGE(OFFSET($H$3,0,0,'Données projet'!$E$14+1,1))</f>
        <v>308.80022073574963</v>
      </c>
      <c r="DU190" s="59">
        <f t="shared" si="152"/>
        <v>183.96267407004115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20.354836838034611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20.354836838034611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266.99999999999983</v>
      </c>
      <c r="EK190" s="17">
        <f>EJ190*VLOOKUP('Données projet'!$B$15,Paramètres!$A$1:$I$89,3,0)*VLOOKUP('Données projet'!$B$15,Paramètres!$A$1:$I$89,5,0)</f>
        <v>174.93839999999989</v>
      </c>
      <c r="EL190" s="13">
        <f t="shared" si="179"/>
        <v>44.194210865203175</v>
      </c>
      <c r="EM190" s="20">
        <f t="shared" si="180"/>
        <v>381.65596392356196</v>
      </c>
      <c r="EN190" s="59">
        <f t="shared" si="128"/>
        <v>674.98929725689527</v>
      </c>
      <c r="EO190" s="59">
        <f ca="1">AVERAGE(OFFSET($EN$3,0,0,'Données projet'!$E$15+1,1))-AVERAGE(OFFSET($H$3,0,0,'Données projet'!$E$15+1,1))</f>
        <v>178.71569711875242</v>
      </c>
      <c r="EP190" s="59">
        <f t="shared" si="154"/>
        <v>178.13848582064168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3.4828709897049208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3.4828709897049208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267</v>
      </c>
      <c r="FF190" s="17">
        <f>FE190*VLOOKUP('Données projet'!$B$16,Paramètres!$A$1:$I$89,3,0)*VLOOKUP('Données projet'!$B$16,Paramètres!$A$1:$I$89,5,0)</f>
        <v>224.92080000000001</v>
      </c>
      <c r="FG190" s="13">
        <f t="shared" si="182"/>
        <v>55.1830164775604</v>
      </c>
      <c r="FH190" s="20">
        <f t="shared" si="183"/>
        <v>487.84748036508444</v>
      </c>
      <c r="FI190" s="59">
        <f t="shared" si="131"/>
        <v>781.18081369841775</v>
      </c>
      <c r="FJ190" s="59">
        <f ca="1">AVERAGE(OFFSET($FI$3,0,0,'Données projet'!$E$16+1,1))-AVERAGE(OFFSET($H$3,0,0,'Données projet'!$E$16+1,1))</f>
        <v>247.22536892257716</v>
      </c>
      <c r="FK190" s="59">
        <f t="shared" si="156"/>
        <v>147.97952262756075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16.910172142367244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16.910172142367244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6">
        <f t="shared" si="110"/>
        <v>493.79293109709795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249.0000000000002</v>
      </c>
      <c r="O191" s="13">
        <f>N191*VLOOKUP('Données projet'!$B$9,Paramètres!$A$1:$I$89,3,0)*VLOOKUP('Données projet'!$B$9,Paramètres!$A$1:$I$89,5,0)</f>
        <v>217.52640000000019</v>
      </c>
      <c r="P191" s="13">
        <f t="shared" si="141"/>
        <v>53.576907690651304</v>
      </c>
      <c r="Q191" s="20">
        <f t="shared" si="162"/>
        <v>472.17159422788467</v>
      </c>
      <c r="R191" s="59">
        <f t="shared" si="109"/>
        <v>765.50492756121798</v>
      </c>
      <c r="S191" s="59">
        <f ca="1">AVERAGE(OFFSET($R$3,0,0,'Données projet'!$E$9+1,1))-AVERAGE(OFFSET($H$3,0,0,'Données projet'!$E$9+1,1))</f>
        <v>253.73326067725128</v>
      </c>
      <c r="T191" s="59">
        <f t="shared" si="142"/>
        <v>317.76427047458026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6.0344303168582512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6.0344303168582512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732.99999999999966</v>
      </c>
      <c r="AJ191" s="13">
        <f>AI191*VLOOKUP('Données projet'!$B$10,Paramètres!$A$1:$I$89,3,0)*VLOOKUP('Données projet'!$B$10,Paramètres!$A$1:$I$89,5,0)</f>
        <v>352.57299999999987</v>
      </c>
      <c r="AK191" s="13">
        <f t="shared" si="164"/>
        <v>82.092092597941644</v>
      </c>
      <c r="AL191" s="20">
        <f t="shared" si="165"/>
        <v>757.04170294141477</v>
      </c>
      <c r="AM191" s="59">
        <f t="shared" si="113"/>
        <v>1050.375036274748</v>
      </c>
      <c r="AN191" s="59">
        <f ca="1">AVERAGE(OFFSET($AM$3,0,0,'Données projet'!$E$10+1,1))-AVERAGE(OFFSET($H$3,0,0,'Données projet'!$E$10+1,1))</f>
        <v>349.65790906807746</v>
      </c>
      <c r="AO191" s="59">
        <f t="shared" si="144"/>
        <v>291.88925884278888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14.901438994161687</v>
      </c>
      <c r="AV191" s="21">
        <f>EXP(-LN(2)/25)*AV190+(1-EXP(-LN(2)/25))/(LN(2)/25)*Calculateur!AQ191*Calculateur!AS191*VLOOKUP('Données projet'!$B$10,Paramètres!$A$1:$I$89,3,0)*0.475*44/12</f>
        <v>0.51561221009204772</v>
      </c>
      <c r="AW191" s="21">
        <f>EXP(-LN(2)/2)*AW190+(1-EXP(-LN(2)/2))/(LN(2)/2)*AQ191*AT191*VLOOKUP('Données projet'!$B$10,Paramètres!$A$1:$I$89,3,0)*0.475*44/12</f>
        <v>8.4466059601340092E-26</v>
      </c>
      <c r="AX191" s="21">
        <f t="shared" si="166"/>
        <v>15.417051204253735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319</v>
      </c>
      <c r="BE191" s="13">
        <f>BD191*VLOOKUP('Données projet'!$B$11,Paramètres!$A$1:$I$89,3,0)*VLOOKUP('Données projet'!$B$11,Paramètres!$A$1:$I$89,5,0)</f>
        <v>253.79640000000001</v>
      </c>
      <c r="BF191" s="13">
        <f t="shared" si="167"/>
        <v>61.39816832228076</v>
      </c>
      <c r="BG191" s="20">
        <f t="shared" si="168"/>
        <v>548.96387316130563</v>
      </c>
      <c r="BH191" s="59">
        <f t="shared" si="116"/>
        <v>842.29720649463889</v>
      </c>
      <c r="BI191" s="59">
        <f ca="1">AVERAGE(OFFSET($BH$3,0,0,'Données projet'!$E$11+1,1))-AVERAGE(OFFSET($H$3,0,0,'Données projet'!$E$11+1,1))</f>
        <v>279.49721661620544</v>
      </c>
      <c r="BJ191" s="59">
        <f t="shared" si="146"/>
        <v>275.18739333988754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6.262672582669814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6.262672582669814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266.99999999999983</v>
      </c>
      <c r="BZ191" s="13">
        <f>BY191*VLOOKUP('Données projet'!$B$12,Paramètres!$A$1:$I$89,3,0)*VLOOKUP('Données projet'!$B$12,Paramètres!$A$1:$I$89,5,0)</f>
        <v>258.24239999999986</v>
      </c>
      <c r="CA191" s="13">
        <f t="shared" si="170"/>
        <v>62.347580891234152</v>
      </c>
      <c r="CB191" s="20">
        <f t="shared" si="171"/>
        <v>558.3608833855659</v>
      </c>
      <c r="CC191" s="59">
        <f t="shared" si="119"/>
        <v>851.69421671889927</v>
      </c>
      <c r="CD191" s="59">
        <f ca="1">AVERAGE(OFFSET($CC$3,0,0,'Données projet'!$E$12+1,1))-AVERAGE(OFFSET($H$3,0,0,'Données projet'!$E$12+1,1))</f>
        <v>281.84871057356037</v>
      </c>
      <c r="CE191" s="59">
        <f t="shared" si="148"/>
        <v>276.02211904126887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5.0405616396232817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5.0405616396232817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319</v>
      </c>
      <c r="CU191" s="17">
        <f>CT191*VLOOKUP('Données projet'!$B$13,Paramètres!$A$1:$I$89,3,0)*VLOOKUP('Données projet'!$B$13,Paramètres!$A$1:$I$89,5,0)</f>
        <v>253.79640000000001</v>
      </c>
      <c r="CV191" s="13">
        <f t="shared" si="173"/>
        <v>61.39816832228076</v>
      </c>
      <c r="CW191" s="20">
        <f t="shared" si="174"/>
        <v>548.96387316130563</v>
      </c>
      <c r="CX191" s="59">
        <f t="shared" si="122"/>
        <v>842.29720649463889</v>
      </c>
      <c r="CY191" s="59">
        <f ca="1">AVERAGE(OFFSET($CX$3,0,0,'Données projet'!$E$13+1,1))-AVERAGE(OFFSET($H$3,0,0,'Données projet'!$E$13+1,1))</f>
        <v>279.49721661620544</v>
      </c>
      <c r="CZ191" s="59">
        <f t="shared" si="150"/>
        <v>275.18739333988754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6.262672582669814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6.262672582669814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267</v>
      </c>
      <c r="DP191" s="17">
        <f>DO191*VLOOKUP('Données projet'!$B$14,Paramètres!$A$1:$I$89,3,0)*VLOOKUP('Données projet'!$B$14,Paramètres!$A$1:$I$89,5,0)</f>
        <v>270.738</v>
      </c>
      <c r="DQ191" s="13">
        <f t="shared" si="176"/>
        <v>65.005866623551711</v>
      </c>
      <c r="DR191" s="20">
        <f t="shared" si="177"/>
        <v>584.7539010360191</v>
      </c>
      <c r="DS191" s="59">
        <f t="shared" si="125"/>
        <v>878.08723436935247</v>
      </c>
      <c r="DT191" s="59">
        <f ca="1">AVERAGE(OFFSET($DS$3,0,0,'Données projet'!$E$14+1,1))-AVERAGE(OFFSET($H$3,0,0,'Données projet'!$E$14+1,1))</f>
        <v>308.80022073574963</v>
      </c>
      <c r="DU191" s="59">
        <f t="shared" si="152"/>
        <v>183.96267407004115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19.955690902865321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19.955690902865321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266.99999999999983</v>
      </c>
      <c r="EK191" s="17">
        <f>EJ191*VLOOKUP('Données projet'!$B$15,Paramètres!$A$1:$I$89,3,0)*VLOOKUP('Données projet'!$B$15,Paramètres!$A$1:$I$89,5,0)</f>
        <v>174.93839999999989</v>
      </c>
      <c r="EL191" s="13">
        <f t="shared" si="179"/>
        <v>44.194210865203175</v>
      </c>
      <c r="EM191" s="20">
        <f t="shared" si="180"/>
        <v>381.65596392356196</v>
      </c>
      <c r="EN191" s="59">
        <f t="shared" si="128"/>
        <v>674.98929725689527</v>
      </c>
      <c r="EO191" s="59">
        <f ca="1">AVERAGE(OFFSET($EN$3,0,0,'Données projet'!$E$15+1,1))-AVERAGE(OFFSET($H$3,0,0,'Données projet'!$E$15+1,1))</f>
        <v>178.71569711875242</v>
      </c>
      <c r="EP191" s="59">
        <f t="shared" si="154"/>
        <v>178.13848582064168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3.4145740139383496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3.4145740139383496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267</v>
      </c>
      <c r="FF191" s="17">
        <f>FE191*VLOOKUP('Données projet'!$B$16,Paramètres!$A$1:$I$89,3,0)*VLOOKUP('Données projet'!$B$16,Paramètres!$A$1:$I$89,5,0)</f>
        <v>224.92080000000001</v>
      </c>
      <c r="FG191" s="13">
        <f t="shared" si="182"/>
        <v>55.1830164775604</v>
      </c>
      <c r="FH191" s="20">
        <f t="shared" si="183"/>
        <v>487.84748036508444</v>
      </c>
      <c r="FI191" s="59">
        <f t="shared" si="131"/>
        <v>781.18081369841775</v>
      </c>
      <c r="FJ191" s="59">
        <f ca="1">AVERAGE(OFFSET($FI$3,0,0,'Données projet'!$E$16+1,1))-AVERAGE(OFFSET($H$3,0,0,'Données projet'!$E$16+1,1))</f>
        <v>247.22536892257716</v>
      </c>
      <c r="FK191" s="59">
        <f t="shared" si="156"/>
        <v>147.97952262756075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16.578573980841988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16.578573980841988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6">
        <f t="shared" si="110"/>
        <v>494.83254194712129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249.0000000000002</v>
      </c>
      <c r="O192" s="13">
        <f>N192*VLOOKUP('Données projet'!$B$9,Paramètres!$A$1:$I$89,3,0)*VLOOKUP('Données projet'!$B$9,Paramètres!$A$1:$I$89,5,0)</f>
        <v>217.52640000000019</v>
      </c>
      <c r="P192" s="13">
        <f t="shared" si="141"/>
        <v>53.576907690651304</v>
      </c>
      <c r="Q192" s="20">
        <f t="shared" si="162"/>
        <v>472.17159422788467</v>
      </c>
      <c r="R192" s="59">
        <f t="shared" si="109"/>
        <v>765.50492756121798</v>
      </c>
      <c r="S192" s="59">
        <f ca="1">AVERAGE(OFFSET($R$3,0,0,'Données projet'!$E$9+1,1))-AVERAGE(OFFSET($H$3,0,0,'Données projet'!$E$9+1,1))</f>
        <v>253.73326067725128</v>
      </c>
      <c r="T192" s="59">
        <f t="shared" si="142"/>
        <v>317.76427047458026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5.9160988189837216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5.9160988189837216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732.99999999999966</v>
      </c>
      <c r="AJ192" s="13">
        <f>AI192*VLOOKUP('Données projet'!$B$10,Paramètres!$A$1:$I$89,3,0)*VLOOKUP('Données projet'!$B$10,Paramètres!$A$1:$I$89,5,0)</f>
        <v>352.57299999999987</v>
      </c>
      <c r="AK192" s="13">
        <f t="shared" si="164"/>
        <v>82.092092597941644</v>
      </c>
      <c r="AL192" s="20">
        <f t="shared" si="165"/>
        <v>757.04170294141477</v>
      </c>
      <c r="AM192" s="59">
        <f t="shared" si="113"/>
        <v>1050.375036274748</v>
      </c>
      <c r="AN192" s="59">
        <f ca="1">AVERAGE(OFFSET($AM$3,0,0,'Données projet'!$E$10+1,1))-AVERAGE(OFFSET($H$3,0,0,'Données projet'!$E$10+1,1))</f>
        <v>349.65790906807746</v>
      </c>
      <c r="AO192" s="59">
        <f t="shared" si="144"/>
        <v>291.88925884278888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14.6092308644665</v>
      </c>
      <c r="AV192" s="21">
        <f>EXP(-LN(2)/25)*AV191+(1-EXP(-LN(2)/25))/(LN(2)/25)*Calculateur!AQ192*Calculateur!AS192*VLOOKUP('Données projet'!$B$10,Paramètres!$A$1:$I$89,3,0)*0.475*44/12</f>
        <v>0.50151276709221304</v>
      </c>
      <c r="AW192" s="21">
        <f>EXP(-LN(2)/2)*AW191+(1-EXP(-LN(2)/2))/(LN(2)/2)*AQ192*AT192*VLOOKUP('Données projet'!$B$10,Paramètres!$A$1:$I$89,3,0)*0.475*44/12</f>
        <v>5.972652352421467E-26</v>
      </c>
      <c r="AX192" s="21">
        <f t="shared" si="166"/>
        <v>15.110743631558714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319</v>
      </c>
      <c r="BE192" s="13">
        <f>BD192*VLOOKUP('Données projet'!$B$11,Paramètres!$A$1:$I$89,3,0)*VLOOKUP('Données projet'!$B$11,Paramètres!$A$1:$I$89,5,0)</f>
        <v>253.79640000000001</v>
      </c>
      <c r="BF192" s="13">
        <f t="shared" si="167"/>
        <v>61.39816832228076</v>
      </c>
      <c r="BG192" s="20">
        <f t="shared" si="168"/>
        <v>548.96387316130563</v>
      </c>
      <c r="BH192" s="59">
        <f t="shared" si="116"/>
        <v>842.29720649463889</v>
      </c>
      <c r="BI192" s="59">
        <f ca="1">AVERAGE(OFFSET($BH$3,0,0,'Données projet'!$E$11+1,1))-AVERAGE(OFFSET($H$3,0,0,'Données projet'!$E$11+1,1))</f>
        <v>279.49721661620544</v>
      </c>
      <c r="BJ192" s="59">
        <f t="shared" si="146"/>
        <v>275.18739333988754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6.1398653931767555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6.1398653931767555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266.99999999999983</v>
      </c>
      <c r="BZ192" s="13">
        <f>BY192*VLOOKUP('Données projet'!$B$12,Paramètres!$A$1:$I$89,3,0)*VLOOKUP('Données projet'!$B$12,Paramètres!$A$1:$I$89,5,0)</f>
        <v>258.24239999999986</v>
      </c>
      <c r="CA192" s="13">
        <f t="shared" si="170"/>
        <v>62.347580891234152</v>
      </c>
      <c r="CB192" s="20">
        <f t="shared" si="171"/>
        <v>558.3608833855659</v>
      </c>
      <c r="CC192" s="59">
        <f t="shared" si="119"/>
        <v>851.69421671889927</v>
      </c>
      <c r="CD192" s="59">
        <f ca="1">AVERAGE(OFFSET($CC$3,0,0,'Données projet'!$E$12+1,1))-AVERAGE(OFFSET($H$3,0,0,'Données projet'!$E$12+1,1))</f>
        <v>281.84871057356037</v>
      </c>
      <c r="CE192" s="59">
        <f t="shared" si="148"/>
        <v>276.02211904126887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4.9417193003092938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4.9417193003092938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319</v>
      </c>
      <c r="CU192" s="17">
        <f>CT192*VLOOKUP('Données projet'!$B$13,Paramètres!$A$1:$I$89,3,0)*VLOOKUP('Données projet'!$B$13,Paramètres!$A$1:$I$89,5,0)</f>
        <v>253.79640000000001</v>
      </c>
      <c r="CV192" s="13">
        <f t="shared" si="173"/>
        <v>61.39816832228076</v>
      </c>
      <c r="CW192" s="20">
        <f t="shared" si="174"/>
        <v>548.96387316130563</v>
      </c>
      <c r="CX192" s="59">
        <f t="shared" si="122"/>
        <v>842.29720649463889</v>
      </c>
      <c r="CY192" s="59">
        <f ca="1">AVERAGE(OFFSET($CX$3,0,0,'Données projet'!$E$13+1,1))-AVERAGE(OFFSET($H$3,0,0,'Données projet'!$E$13+1,1))</f>
        <v>279.49721661620544</v>
      </c>
      <c r="CZ192" s="59">
        <f t="shared" si="150"/>
        <v>275.18739333988754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6.1398653931767555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6.1398653931767555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267</v>
      </c>
      <c r="DP192" s="17">
        <f>DO192*VLOOKUP('Données projet'!$B$14,Paramètres!$A$1:$I$89,3,0)*VLOOKUP('Données projet'!$B$14,Paramètres!$A$1:$I$89,5,0)</f>
        <v>270.738</v>
      </c>
      <c r="DQ192" s="13">
        <f t="shared" si="176"/>
        <v>65.005866623551711</v>
      </c>
      <c r="DR192" s="20">
        <f t="shared" si="177"/>
        <v>584.7539010360191</v>
      </c>
      <c r="DS192" s="59">
        <f t="shared" si="125"/>
        <v>878.08723436935247</v>
      </c>
      <c r="DT192" s="59">
        <f ca="1">AVERAGE(OFFSET($DS$3,0,0,'Données projet'!$E$14+1,1))-AVERAGE(OFFSET($H$3,0,0,'Données projet'!$E$14+1,1))</f>
        <v>308.80022073574963</v>
      </c>
      <c r="DU192" s="59">
        <f t="shared" si="152"/>
        <v>183.96267407004115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19.564371976029719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19.564371976029719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266.99999999999983</v>
      </c>
      <c r="EK192" s="17">
        <f>EJ192*VLOOKUP('Données projet'!$B$15,Paramètres!$A$1:$I$89,3,0)*VLOOKUP('Données projet'!$B$15,Paramètres!$A$1:$I$89,5,0)</f>
        <v>174.93839999999989</v>
      </c>
      <c r="EL192" s="13">
        <f t="shared" si="179"/>
        <v>44.194210865203175</v>
      </c>
      <c r="EM192" s="20">
        <f t="shared" si="180"/>
        <v>381.65596392356196</v>
      </c>
      <c r="EN192" s="59">
        <f t="shared" si="128"/>
        <v>674.98929725689527</v>
      </c>
      <c r="EO192" s="59">
        <f ca="1">AVERAGE(OFFSET($EN$3,0,0,'Données projet'!$E$15+1,1))-AVERAGE(OFFSET($H$3,0,0,'Données projet'!$E$15+1,1))</f>
        <v>178.71569711875242</v>
      </c>
      <c r="EP192" s="59">
        <f t="shared" si="154"/>
        <v>178.13848582064168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3.3476163002095189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3.3476163002095189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267</v>
      </c>
      <c r="FF192" s="17">
        <f>FE192*VLOOKUP('Données projet'!$B$16,Paramètres!$A$1:$I$89,3,0)*VLOOKUP('Données projet'!$B$16,Paramètres!$A$1:$I$89,5,0)</f>
        <v>224.92080000000001</v>
      </c>
      <c r="FG192" s="13">
        <f t="shared" si="182"/>
        <v>55.1830164775604</v>
      </c>
      <c r="FH192" s="20">
        <f t="shared" si="183"/>
        <v>487.84748036508444</v>
      </c>
      <c r="FI192" s="59">
        <f t="shared" si="131"/>
        <v>781.18081369841775</v>
      </c>
      <c r="FJ192" s="59">
        <f ca="1">AVERAGE(OFFSET($FI$3,0,0,'Données projet'!$E$16+1,1))-AVERAGE(OFFSET($H$3,0,0,'Données projet'!$E$16+1,1))</f>
        <v>247.22536892257716</v>
      </c>
      <c r="FK192" s="59">
        <f t="shared" si="156"/>
        <v>147.97952262756075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16.253478257009334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16.253478257009334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6">
        <f t="shared" si="110"/>
        <v>495.87202850902497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249.0000000000002</v>
      </c>
      <c r="O193" s="13">
        <f>N193*VLOOKUP('Données projet'!$B$9,Paramètres!$A$1:$I$89,3,0)*VLOOKUP('Données projet'!$B$9,Paramètres!$A$1:$I$89,5,0)</f>
        <v>217.52640000000019</v>
      </c>
      <c r="P193" s="13">
        <f t="shared" si="141"/>
        <v>53.576907690651304</v>
      </c>
      <c r="Q193" s="20">
        <f t="shared" si="162"/>
        <v>472.17159422788467</v>
      </c>
      <c r="R193" s="59">
        <f t="shared" si="109"/>
        <v>765.50492756121798</v>
      </c>
      <c r="S193" s="59">
        <f ca="1">AVERAGE(OFFSET($R$3,0,0,'Données projet'!$E$9+1,1))-AVERAGE(OFFSET($H$3,0,0,'Données projet'!$E$9+1,1))</f>
        <v>253.73326067725128</v>
      </c>
      <c r="T193" s="59">
        <f t="shared" si="142"/>
        <v>317.76427047458026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5.8000877296074238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5.8000877296074238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732.99999999999966</v>
      </c>
      <c r="AJ193" s="13">
        <f>AI193*VLOOKUP('Données projet'!$B$10,Paramètres!$A$1:$I$89,3,0)*VLOOKUP('Données projet'!$B$10,Paramètres!$A$1:$I$89,5,0)</f>
        <v>352.57299999999987</v>
      </c>
      <c r="AK193" s="13">
        <f t="shared" si="164"/>
        <v>82.092092597941644</v>
      </c>
      <c r="AL193" s="20">
        <f t="shared" si="165"/>
        <v>757.04170294141477</v>
      </c>
      <c r="AM193" s="59">
        <f t="shared" si="113"/>
        <v>1050.375036274748</v>
      </c>
      <c r="AN193" s="59">
        <f ca="1">AVERAGE(OFFSET($AM$3,0,0,'Données projet'!$E$10+1,1))-AVERAGE(OFFSET($H$3,0,0,'Données projet'!$E$10+1,1))</f>
        <v>349.65790906807746</v>
      </c>
      <c r="AO193" s="59">
        <f t="shared" si="144"/>
        <v>291.88925884278888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14.322752757965276</v>
      </c>
      <c r="AV193" s="21">
        <f>EXP(-LN(2)/25)*AV192+(1-EXP(-LN(2)/25))/(LN(2)/25)*Calculateur!AQ193*Calculateur!AS193*VLOOKUP('Données projet'!$B$10,Paramètres!$A$1:$I$89,3,0)*0.475*44/12</f>
        <v>0.48779887410266626</v>
      </c>
      <c r="AW193" s="21">
        <f>EXP(-LN(2)/2)*AW192+(1-EXP(-LN(2)/2))/(LN(2)/2)*AQ193*AT193*VLOOKUP('Données projet'!$B$10,Paramètres!$A$1:$I$89,3,0)*0.475*44/12</f>
        <v>4.2233029800670046E-26</v>
      </c>
      <c r="AX193" s="21">
        <f t="shared" si="166"/>
        <v>14.810551632067941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319</v>
      </c>
      <c r="BE193" s="13">
        <f>BD193*VLOOKUP('Données projet'!$B$11,Paramètres!$A$1:$I$89,3,0)*VLOOKUP('Données projet'!$B$11,Paramètres!$A$1:$I$89,5,0)</f>
        <v>253.79640000000001</v>
      </c>
      <c r="BF193" s="13">
        <f t="shared" si="167"/>
        <v>61.39816832228076</v>
      </c>
      <c r="BG193" s="20">
        <f t="shared" si="168"/>
        <v>548.96387316130563</v>
      </c>
      <c r="BH193" s="59">
        <f t="shared" si="116"/>
        <v>842.29720649463889</v>
      </c>
      <c r="BI193" s="59">
        <f ca="1">AVERAGE(OFFSET($BH$3,0,0,'Données projet'!$E$11+1,1))-AVERAGE(OFFSET($H$3,0,0,'Données projet'!$E$11+1,1))</f>
        <v>279.49721661620544</v>
      </c>
      <c r="BJ193" s="59">
        <f t="shared" si="146"/>
        <v>275.18739333988754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6.0194663777646662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6.0194663777646662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266.99999999999983</v>
      </c>
      <c r="BZ193" s="13">
        <f>BY193*VLOOKUP('Données projet'!$B$12,Paramètres!$A$1:$I$89,3,0)*VLOOKUP('Données projet'!$B$12,Paramètres!$A$1:$I$89,5,0)</f>
        <v>258.24239999999986</v>
      </c>
      <c r="CA193" s="13">
        <f t="shared" si="170"/>
        <v>62.347580891234152</v>
      </c>
      <c r="CB193" s="20">
        <f t="shared" si="171"/>
        <v>558.3608833855659</v>
      </c>
      <c r="CC193" s="59">
        <f t="shared" si="119"/>
        <v>851.69421671889927</v>
      </c>
      <c r="CD193" s="59">
        <f ca="1">AVERAGE(OFFSET($CC$3,0,0,'Données projet'!$E$12+1,1))-AVERAGE(OFFSET($H$3,0,0,'Données projet'!$E$12+1,1))</f>
        <v>281.84871057356037</v>
      </c>
      <c r="CE193" s="59">
        <f t="shared" si="148"/>
        <v>276.02211904126887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4.8448151989813795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4.8448151989813795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319</v>
      </c>
      <c r="CU193" s="17">
        <f>CT193*VLOOKUP('Données projet'!$B$13,Paramètres!$A$1:$I$89,3,0)*VLOOKUP('Données projet'!$B$13,Paramètres!$A$1:$I$89,5,0)</f>
        <v>253.79640000000001</v>
      </c>
      <c r="CV193" s="13">
        <f t="shared" si="173"/>
        <v>61.39816832228076</v>
      </c>
      <c r="CW193" s="20">
        <f t="shared" si="174"/>
        <v>548.96387316130563</v>
      </c>
      <c r="CX193" s="59">
        <f t="shared" si="122"/>
        <v>842.29720649463889</v>
      </c>
      <c r="CY193" s="59">
        <f ca="1">AVERAGE(OFFSET($CX$3,0,0,'Données projet'!$E$13+1,1))-AVERAGE(OFFSET($H$3,0,0,'Données projet'!$E$13+1,1))</f>
        <v>279.49721661620544</v>
      </c>
      <c r="CZ193" s="59">
        <f t="shared" si="150"/>
        <v>275.18739333988754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6.0194663777646662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6.0194663777646662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267</v>
      </c>
      <c r="DP193" s="17">
        <f>DO193*VLOOKUP('Données projet'!$B$14,Paramètres!$A$1:$I$89,3,0)*VLOOKUP('Données projet'!$B$14,Paramètres!$A$1:$I$89,5,0)</f>
        <v>270.738</v>
      </c>
      <c r="DQ193" s="13">
        <f t="shared" si="176"/>
        <v>65.005866623551711</v>
      </c>
      <c r="DR193" s="20">
        <f t="shared" si="177"/>
        <v>584.7539010360191</v>
      </c>
      <c r="DS193" s="59">
        <f t="shared" si="125"/>
        <v>878.08723436935247</v>
      </c>
      <c r="DT193" s="59">
        <f ca="1">AVERAGE(OFFSET($DS$3,0,0,'Données projet'!$E$14+1,1))-AVERAGE(OFFSET($H$3,0,0,'Données projet'!$E$14+1,1))</f>
        <v>308.80022073574963</v>
      </c>
      <c r="DU193" s="59">
        <f t="shared" si="152"/>
        <v>183.96267407004115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19.180726574668387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19.180726574668387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266.99999999999983</v>
      </c>
      <c r="EK193" s="17">
        <f>EJ193*VLOOKUP('Données projet'!$B$15,Paramètres!$A$1:$I$89,3,0)*VLOOKUP('Données projet'!$B$15,Paramètres!$A$1:$I$89,5,0)</f>
        <v>174.93839999999989</v>
      </c>
      <c r="EL193" s="13">
        <f t="shared" si="179"/>
        <v>44.194210865203175</v>
      </c>
      <c r="EM193" s="20">
        <f t="shared" si="180"/>
        <v>381.65596392356196</v>
      </c>
      <c r="EN193" s="59">
        <f t="shared" si="128"/>
        <v>674.98929725689527</v>
      </c>
      <c r="EO193" s="59">
        <f ca="1">AVERAGE(OFFSET($EN$3,0,0,'Données projet'!$E$15+1,1))-AVERAGE(OFFSET($H$3,0,0,'Données projet'!$E$15+1,1))</f>
        <v>178.71569711875242</v>
      </c>
      <c r="EP193" s="59">
        <f t="shared" si="154"/>
        <v>178.13848582064168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3.2819715864067378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3.2819715864067378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267</v>
      </c>
      <c r="FF193" s="17">
        <f>FE193*VLOOKUP('Données projet'!$B$16,Paramètres!$A$1:$I$89,3,0)*VLOOKUP('Données projet'!$B$16,Paramètres!$A$1:$I$89,5,0)</f>
        <v>224.92080000000001</v>
      </c>
      <c r="FG193" s="13">
        <f t="shared" si="182"/>
        <v>55.1830164775604</v>
      </c>
      <c r="FH193" s="20">
        <f t="shared" si="183"/>
        <v>487.84748036508444</v>
      </c>
      <c r="FI193" s="59">
        <f t="shared" si="131"/>
        <v>781.18081369841775</v>
      </c>
      <c r="FJ193" s="59">
        <f ca="1">AVERAGE(OFFSET($FI$3,0,0,'Données projet'!$E$16+1,1))-AVERAGE(OFFSET($H$3,0,0,'Données projet'!$E$16+1,1))</f>
        <v>247.22536892257716</v>
      </c>
      <c r="FK193" s="59">
        <f t="shared" si="156"/>
        <v>147.97952262756075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15.934757462032227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15.934757462032227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6">
        <f t="shared" si="110"/>
        <v>496.91139151288291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249.0000000000002</v>
      </c>
      <c r="O194" s="13">
        <f>N194*VLOOKUP('Données projet'!$B$9,Paramètres!$A$1:$I$89,3,0)*VLOOKUP('Données projet'!$B$9,Paramètres!$A$1:$I$89,5,0)</f>
        <v>217.52640000000019</v>
      </c>
      <c r="P194" s="13">
        <f t="shared" si="141"/>
        <v>53.576907690651304</v>
      </c>
      <c r="Q194" s="20">
        <f t="shared" si="162"/>
        <v>472.17159422788467</v>
      </c>
      <c r="R194" s="59">
        <f t="shared" si="109"/>
        <v>765.50492756121798</v>
      </c>
      <c r="S194" s="59">
        <f ca="1">AVERAGE(OFFSET($R$3,0,0,'Données projet'!$E$9+1,1))-AVERAGE(OFFSET($H$3,0,0,'Données projet'!$E$9+1,1))</f>
        <v>253.73326067725128</v>
      </c>
      <c r="T194" s="59">
        <f t="shared" si="142"/>
        <v>317.76427047458026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5.6863515469340182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5.6863515469340182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732.99999999999966</v>
      </c>
      <c r="AJ194" s="13">
        <f>AI194*VLOOKUP('Données projet'!$B$10,Paramètres!$A$1:$I$89,3,0)*VLOOKUP('Données projet'!$B$10,Paramètres!$A$1:$I$89,5,0)</f>
        <v>352.57299999999987</v>
      </c>
      <c r="AK194" s="13">
        <f t="shared" si="164"/>
        <v>82.092092597941644</v>
      </c>
      <c r="AL194" s="20">
        <f t="shared" si="165"/>
        <v>757.04170294141477</v>
      </c>
      <c r="AM194" s="59">
        <f t="shared" si="113"/>
        <v>1050.375036274748</v>
      </c>
      <c r="AN194" s="59">
        <f ca="1">AVERAGE(OFFSET($AM$3,0,0,'Données projet'!$E$10+1,1))-AVERAGE(OFFSET($H$3,0,0,'Données projet'!$E$10+1,1))</f>
        <v>349.65790906807746</v>
      </c>
      <c r="AO194" s="59">
        <f t="shared" si="144"/>
        <v>291.88925884278888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14.041892312398149</v>
      </c>
      <c r="AV194" s="21">
        <f>EXP(-LN(2)/25)*AV193+(1-EXP(-LN(2)/25))/(LN(2)/25)*Calculateur!AQ194*Calculateur!AS194*VLOOKUP('Données projet'!$B$10,Paramètres!$A$1:$I$89,3,0)*0.475*44/12</f>
        <v>0.47445998823810093</v>
      </c>
      <c r="AW194" s="21">
        <f>EXP(-LN(2)/2)*AW193+(1-EXP(-LN(2)/2))/(LN(2)/2)*AQ194*AT194*VLOOKUP('Données projet'!$B$10,Paramètres!$A$1:$I$89,3,0)*0.475*44/12</f>
        <v>2.9863261762107335E-26</v>
      </c>
      <c r="AX194" s="21">
        <f t="shared" si="166"/>
        <v>14.51635230063625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319</v>
      </c>
      <c r="BE194" s="13">
        <f>BD194*VLOOKUP('Données projet'!$B$11,Paramètres!$A$1:$I$89,3,0)*VLOOKUP('Données projet'!$B$11,Paramètres!$A$1:$I$89,5,0)</f>
        <v>253.79640000000001</v>
      </c>
      <c r="BF194" s="13">
        <f t="shared" si="167"/>
        <v>61.39816832228076</v>
      </c>
      <c r="BG194" s="20">
        <f t="shared" si="168"/>
        <v>548.96387316130563</v>
      </c>
      <c r="BH194" s="59">
        <f t="shared" si="116"/>
        <v>842.29720649463889</v>
      </c>
      <c r="BI194" s="59">
        <f ca="1">AVERAGE(OFFSET($BH$3,0,0,'Données projet'!$E$11+1,1))-AVERAGE(OFFSET($H$3,0,0,'Données projet'!$E$11+1,1))</f>
        <v>279.49721661620544</v>
      </c>
      <c r="BJ194" s="59">
        <f t="shared" si="146"/>
        <v>275.18739333988754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5.90142831360866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5.90142831360866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266.99999999999983</v>
      </c>
      <c r="BZ194" s="13">
        <f>BY194*VLOOKUP('Données projet'!$B$12,Paramètres!$A$1:$I$89,3,0)*VLOOKUP('Données projet'!$B$12,Paramètres!$A$1:$I$89,5,0)</f>
        <v>258.24239999999986</v>
      </c>
      <c r="CA194" s="13">
        <f t="shared" si="170"/>
        <v>62.347580891234152</v>
      </c>
      <c r="CB194" s="20">
        <f t="shared" si="171"/>
        <v>558.3608833855659</v>
      </c>
      <c r="CC194" s="59">
        <f t="shared" si="119"/>
        <v>851.69421671889927</v>
      </c>
      <c r="CD194" s="59">
        <f ca="1">AVERAGE(OFFSET($CC$3,0,0,'Données projet'!$E$12+1,1))-AVERAGE(OFFSET($H$3,0,0,'Données projet'!$E$12+1,1))</f>
        <v>281.84871057356037</v>
      </c>
      <c r="CE194" s="59">
        <f t="shared" si="148"/>
        <v>276.02211904126887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4.7498113279748395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4.7498113279748395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319</v>
      </c>
      <c r="CU194" s="17">
        <f>CT194*VLOOKUP('Données projet'!$B$13,Paramètres!$A$1:$I$89,3,0)*VLOOKUP('Données projet'!$B$13,Paramètres!$A$1:$I$89,5,0)</f>
        <v>253.79640000000001</v>
      </c>
      <c r="CV194" s="13">
        <f t="shared" si="173"/>
        <v>61.39816832228076</v>
      </c>
      <c r="CW194" s="20">
        <f t="shared" si="174"/>
        <v>548.96387316130563</v>
      </c>
      <c r="CX194" s="59">
        <f t="shared" si="122"/>
        <v>842.29720649463889</v>
      </c>
      <c r="CY194" s="59">
        <f ca="1">AVERAGE(OFFSET($CX$3,0,0,'Données projet'!$E$13+1,1))-AVERAGE(OFFSET($H$3,0,0,'Données projet'!$E$13+1,1))</f>
        <v>279.49721661620544</v>
      </c>
      <c r="CZ194" s="59">
        <f t="shared" si="150"/>
        <v>275.18739333988754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5.90142831360866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5.90142831360866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267</v>
      </c>
      <c r="DP194" s="17">
        <f>DO194*VLOOKUP('Données projet'!$B$14,Paramètres!$A$1:$I$89,3,0)*VLOOKUP('Données projet'!$B$14,Paramètres!$A$1:$I$89,5,0)</f>
        <v>270.738</v>
      </c>
      <c r="DQ194" s="13">
        <f t="shared" si="176"/>
        <v>65.005866623551711</v>
      </c>
      <c r="DR194" s="20">
        <f t="shared" si="177"/>
        <v>584.7539010360191</v>
      </c>
      <c r="DS194" s="59">
        <f t="shared" si="125"/>
        <v>878.08723436935247</v>
      </c>
      <c r="DT194" s="59">
        <f ca="1">AVERAGE(OFFSET($DS$3,0,0,'Données projet'!$E$14+1,1))-AVERAGE(OFFSET($H$3,0,0,'Données projet'!$E$14+1,1))</f>
        <v>308.80022073574963</v>
      </c>
      <c r="DU194" s="59">
        <f t="shared" si="152"/>
        <v>183.96267407004115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18.804604225627163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18.804604225627163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266.99999999999983</v>
      </c>
      <c r="EK194" s="17">
        <f>EJ194*VLOOKUP('Données projet'!$B$15,Paramètres!$A$1:$I$89,3,0)*VLOOKUP('Données projet'!$B$15,Paramètres!$A$1:$I$89,5,0)</f>
        <v>174.93839999999989</v>
      </c>
      <c r="EL194" s="13">
        <f t="shared" si="179"/>
        <v>44.194210865203175</v>
      </c>
      <c r="EM194" s="20">
        <f t="shared" si="180"/>
        <v>381.65596392356196</v>
      </c>
      <c r="EN194" s="59">
        <f t="shared" si="128"/>
        <v>674.98929725689527</v>
      </c>
      <c r="EO194" s="59">
        <f ca="1">AVERAGE(OFFSET($EN$3,0,0,'Données projet'!$E$15+1,1))-AVERAGE(OFFSET($H$3,0,0,'Données projet'!$E$15+1,1))</f>
        <v>178.71569711875242</v>
      </c>
      <c r="EP194" s="59">
        <f t="shared" si="154"/>
        <v>178.13848582064168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3.2176141254023074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3.2176141254023074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267</v>
      </c>
      <c r="FF194" s="17">
        <f>FE194*VLOOKUP('Données projet'!$B$16,Paramètres!$A$1:$I$89,3,0)*VLOOKUP('Données projet'!$B$16,Paramètres!$A$1:$I$89,5,0)</f>
        <v>224.92080000000001</v>
      </c>
      <c r="FG194" s="13">
        <f t="shared" si="182"/>
        <v>55.1830164775604</v>
      </c>
      <c r="FH194" s="20">
        <f t="shared" si="183"/>
        <v>487.84748036508444</v>
      </c>
      <c r="FI194" s="59">
        <f t="shared" si="131"/>
        <v>781.18081369841775</v>
      </c>
      <c r="FJ194" s="59">
        <f ca="1">AVERAGE(OFFSET($FI$3,0,0,'Données projet'!$E$16+1,1))-AVERAGE(OFFSET($H$3,0,0,'Données projet'!$E$16+1,1))</f>
        <v>247.22536892257716</v>
      </c>
      <c r="FK194" s="59">
        <f t="shared" si="156"/>
        <v>147.97952262756075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15.622286587444131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15.622286587444131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6">
        <f t="shared" si="110"/>
        <v>497.95063168068179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249.0000000000002</v>
      </c>
      <c r="O195" s="13">
        <f>N195*VLOOKUP('Données projet'!$B$9,Paramètres!$A$1:$I$89,3,0)*VLOOKUP('Données projet'!$B$9,Paramètres!$A$1:$I$89,5,0)</f>
        <v>217.52640000000019</v>
      </c>
      <c r="P195" s="13">
        <f t="shared" si="141"/>
        <v>53.576907690651304</v>
      </c>
      <c r="Q195" s="20">
        <f t="shared" si="162"/>
        <v>472.17159422788467</v>
      </c>
      <c r="R195" s="59">
        <f t="shared" ref="R195:R203" si="191">Q195+(I195+J195)*44/12</f>
        <v>765.50492756121798</v>
      </c>
      <c r="S195" s="59">
        <f ca="1">AVERAGE(OFFSET($R$3,0,0,'Données projet'!$E$9+1,1))-AVERAGE(OFFSET($H$3,0,0,'Données projet'!$E$9+1,1))</f>
        <v>253.73326067725128</v>
      </c>
      <c r="T195" s="59">
        <f t="shared" si="142"/>
        <v>317.76427047458026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5.5748456614306168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5.5748456614306168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732.99999999999966</v>
      </c>
      <c r="AJ195" s="13">
        <f>AI195*VLOOKUP('Données projet'!$B$10,Paramètres!$A$1:$I$89,3,0)*VLOOKUP('Données projet'!$B$10,Paramètres!$A$1:$I$89,5,0)</f>
        <v>352.57299999999987</v>
      </c>
      <c r="AK195" s="13">
        <f t="shared" si="164"/>
        <v>82.092092597941644</v>
      </c>
      <c r="AL195" s="20">
        <f t="shared" si="165"/>
        <v>757.04170294141477</v>
      </c>
      <c r="AM195" s="59">
        <f t="shared" si="113"/>
        <v>1050.375036274748</v>
      </c>
      <c r="AN195" s="59">
        <f ca="1">AVERAGE(OFFSET($AM$3,0,0,'Données projet'!$E$10+1,1))-AVERAGE(OFFSET($H$3,0,0,'Données projet'!$E$10+1,1))</f>
        <v>349.65790906807746</v>
      </c>
      <c r="AO195" s="59">
        <f t="shared" si="144"/>
        <v>291.88925884278888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13.766539368860638</v>
      </c>
      <c r="AV195" s="21">
        <f>EXP(-LN(2)/25)*AV194+(1-EXP(-LN(2)/25))/(LN(2)/25)*Calculateur!AQ195*Calculateur!AS195*VLOOKUP('Données projet'!$B$10,Paramètres!$A$1:$I$89,3,0)*0.475*44/12</f>
        <v>0.46148585490896366</v>
      </c>
      <c r="AW195" s="21">
        <f>EXP(-LN(2)/2)*AW194+(1-EXP(-LN(2)/2))/(LN(2)/2)*AQ195*AT195*VLOOKUP('Données projet'!$B$10,Paramètres!$A$1:$I$89,3,0)*0.475*44/12</f>
        <v>2.1116514900335023E-26</v>
      </c>
      <c r="AX195" s="21">
        <f t="shared" si="166"/>
        <v>14.228025223769601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319</v>
      </c>
      <c r="BE195" s="13">
        <f>BD195*VLOOKUP('Données projet'!$B$11,Paramètres!$A$1:$I$89,3,0)*VLOOKUP('Données projet'!$B$11,Paramètres!$A$1:$I$89,5,0)</f>
        <v>253.79640000000001</v>
      </c>
      <c r="BF195" s="13">
        <f t="shared" si="167"/>
        <v>61.39816832228076</v>
      </c>
      <c r="BG195" s="20">
        <f t="shared" si="168"/>
        <v>548.96387316130563</v>
      </c>
      <c r="BH195" s="59">
        <f t="shared" si="116"/>
        <v>842.29720649463889</v>
      </c>
      <c r="BI195" s="59">
        <f ca="1">AVERAGE(OFFSET($BH$3,0,0,'Données projet'!$E$11+1,1))-AVERAGE(OFFSET($H$3,0,0,'Données projet'!$E$11+1,1))</f>
        <v>279.49721661620544</v>
      </c>
      <c r="BJ195" s="59">
        <f t="shared" si="146"/>
        <v>275.18739333988754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5.7857049038946426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5.7857049038946426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266.99999999999983</v>
      </c>
      <c r="BZ195" s="13">
        <f>BY195*VLOOKUP('Données projet'!$B$12,Paramètres!$A$1:$I$89,3,0)*VLOOKUP('Données projet'!$B$12,Paramètres!$A$1:$I$89,5,0)</f>
        <v>258.24239999999986</v>
      </c>
      <c r="CA195" s="13">
        <f t="shared" si="170"/>
        <v>62.347580891234152</v>
      </c>
      <c r="CB195" s="20">
        <f t="shared" si="171"/>
        <v>558.3608833855659</v>
      </c>
      <c r="CC195" s="59">
        <f t="shared" si="119"/>
        <v>851.69421671889927</v>
      </c>
      <c r="CD195" s="59">
        <f ca="1">AVERAGE(OFFSET($CC$3,0,0,'Données projet'!$E$12+1,1))-AVERAGE(OFFSET($H$3,0,0,'Données projet'!$E$12+1,1))</f>
        <v>281.84871057356037</v>
      </c>
      <c r="CE195" s="59">
        <f t="shared" si="148"/>
        <v>276.02211904126887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4.6566704249320985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4.6566704249320985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319</v>
      </c>
      <c r="CU195" s="17">
        <f>CT195*VLOOKUP('Données projet'!$B$13,Paramètres!$A$1:$I$89,3,0)*VLOOKUP('Données projet'!$B$13,Paramètres!$A$1:$I$89,5,0)</f>
        <v>253.79640000000001</v>
      </c>
      <c r="CV195" s="13">
        <f t="shared" si="173"/>
        <v>61.39816832228076</v>
      </c>
      <c r="CW195" s="20">
        <f t="shared" si="174"/>
        <v>548.96387316130563</v>
      </c>
      <c r="CX195" s="59">
        <f t="shared" si="122"/>
        <v>842.29720649463889</v>
      </c>
      <c r="CY195" s="59">
        <f ca="1">AVERAGE(OFFSET($CX$3,0,0,'Données projet'!$E$13+1,1))-AVERAGE(OFFSET($H$3,0,0,'Données projet'!$E$13+1,1))</f>
        <v>279.49721661620544</v>
      </c>
      <c r="CZ195" s="59">
        <f t="shared" si="150"/>
        <v>275.18739333988754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5.7857049038946426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5.7857049038946426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267</v>
      </c>
      <c r="DP195" s="17">
        <f>DO195*VLOOKUP('Données projet'!$B$14,Paramètres!$A$1:$I$89,3,0)*VLOOKUP('Données projet'!$B$14,Paramètres!$A$1:$I$89,5,0)</f>
        <v>270.738</v>
      </c>
      <c r="DQ195" s="13">
        <f t="shared" si="176"/>
        <v>65.005866623551711</v>
      </c>
      <c r="DR195" s="20">
        <f t="shared" si="177"/>
        <v>584.7539010360191</v>
      </c>
      <c r="DS195" s="59">
        <f t="shared" si="125"/>
        <v>878.08723436935247</v>
      </c>
      <c r="DT195" s="59">
        <f ca="1">AVERAGE(OFFSET($DS$3,0,0,'Données projet'!$E$14+1,1))-AVERAGE(OFFSET($H$3,0,0,'Données projet'!$E$14+1,1))</f>
        <v>308.80022073574963</v>
      </c>
      <c r="DU195" s="59">
        <f t="shared" si="152"/>
        <v>183.96267407004115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18.435857406438654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18.435857406438654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266.99999999999983</v>
      </c>
      <c r="EK195" s="17">
        <f>EJ195*VLOOKUP('Données projet'!$B$15,Paramètres!$A$1:$I$89,3,0)*VLOOKUP('Données projet'!$B$15,Paramètres!$A$1:$I$89,5,0)</f>
        <v>174.93839999999989</v>
      </c>
      <c r="EL195" s="13">
        <f t="shared" si="179"/>
        <v>44.194210865203175</v>
      </c>
      <c r="EM195" s="20">
        <f t="shared" si="180"/>
        <v>381.65596392356196</v>
      </c>
      <c r="EN195" s="59">
        <f t="shared" si="128"/>
        <v>674.98929725689527</v>
      </c>
      <c r="EO195" s="59">
        <f ca="1">AVERAGE(OFFSET($EN$3,0,0,'Données projet'!$E$15+1,1))-AVERAGE(OFFSET($H$3,0,0,'Données projet'!$E$15+1,1))</f>
        <v>178.71569711875242</v>
      </c>
      <c r="EP195" s="59">
        <f t="shared" si="154"/>
        <v>178.13848582064168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3.1545186749539988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3.1545186749539988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267</v>
      </c>
      <c r="FF195" s="17">
        <f>FE195*VLOOKUP('Données projet'!$B$16,Paramètres!$A$1:$I$89,3,0)*VLOOKUP('Données projet'!$B$16,Paramètres!$A$1:$I$89,5,0)</f>
        <v>224.92080000000001</v>
      </c>
      <c r="FG195" s="13">
        <f t="shared" si="182"/>
        <v>55.1830164775604</v>
      </c>
      <c r="FH195" s="20">
        <f t="shared" si="183"/>
        <v>487.84748036508444</v>
      </c>
      <c r="FI195" s="59">
        <f t="shared" si="131"/>
        <v>781.18081369841775</v>
      </c>
      <c r="FJ195" s="59">
        <f ca="1">AVERAGE(OFFSET($FI$3,0,0,'Données projet'!$E$16+1,1))-AVERAGE(OFFSET($H$3,0,0,'Données projet'!$E$16+1,1))</f>
        <v>247.22536892257716</v>
      </c>
      <c r="FK195" s="59">
        <f t="shared" si="156"/>
        <v>147.97952262756075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15.315943076118295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15.315943076118295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6">
        <f t="shared" ref="H196:H203" si="192">(B196+E196+F196)*44/12+(C196+D196)*0.475*44/12</f>
        <v>498.98974972645203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249.0000000000002</v>
      </c>
      <c r="O196" s="13">
        <f>N196*VLOOKUP('Données projet'!$B$9,Paramètres!$A$1:$I$89,3,0)*VLOOKUP('Données projet'!$B$9,Paramètres!$A$1:$I$89,5,0)</f>
        <v>217.52640000000019</v>
      </c>
      <c r="P196" s="13">
        <f t="shared" si="141"/>
        <v>53.576907690651304</v>
      </c>
      <c r="Q196" s="20">
        <f t="shared" si="162"/>
        <v>472.17159422788467</v>
      </c>
      <c r="R196" s="59">
        <f t="shared" si="191"/>
        <v>765.50492756121798</v>
      </c>
      <c r="S196" s="59">
        <f ca="1">AVERAGE(OFFSET($R$3,0,0,'Données projet'!$E$9+1,1))-AVERAGE(OFFSET($H$3,0,0,'Données projet'!$E$9+1,1))</f>
        <v>253.73326067725128</v>
      </c>
      <c r="T196" s="59">
        <f t="shared" si="142"/>
        <v>317.76427047458026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5.4655263383300623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5.4655263383300623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732.99999999999966</v>
      </c>
      <c r="AJ196" s="13">
        <f>AI196*VLOOKUP('Données projet'!$B$10,Paramètres!$A$1:$I$89,3,0)*VLOOKUP('Données projet'!$B$10,Paramètres!$A$1:$I$89,5,0)</f>
        <v>352.57299999999987</v>
      </c>
      <c r="AK196" s="13">
        <f t="shared" si="164"/>
        <v>82.092092597941644</v>
      </c>
      <c r="AL196" s="20">
        <f t="shared" si="165"/>
        <v>757.04170294141477</v>
      </c>
      <c r="AM196" s="59">
        <f t="shared" ref="AM196:AM203" si="193">AL196+(AD196+AE196)*44/12</f>
        <v>1050.375036274748</v>
      </c>
      <c r="AN196" s="59">
        <f ca="1">AVERAGE(OFFSET($AM$3,0,0,'Données projet'!$E$10+1,1))-AVERAGE(OFFSET($H$3,0,0,'Données projet'!$E$10+1,1))</f>
        <v>349.65790906807746</v>
      </c>
      <c r="AO196" s="59">
        <f t="shared" si="144"/>
        <v>291.88925884278888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13.496585928597185</v>
      </c>
      <c r="AV196" s="21">
        <f>EXP(-LN(2)/25)*AV195+(1-EXP(-LN(2)/25))/(LN(2)/25)*Calculateur!AQ196*Calculateur!AS196*VLOOKUP('Données projet'!$B$10,Paramètres!$A$1:$I$89,3,0)*0.475*44/12</f>
        <v>0.44886649993799166</v>
      </c>
      <c r="AW196" s="21">
        <f>EXP(-LN(2)/2)*AW195+(1-EXP(-LN(2)/2))/(LN(2)/2)*AQ196*AT196*VLOOKUP('Données projet'!$B$10,Paramètres!$A$1:$I$89,3,0)*0.475*44/12</f>
        <v>1.4931630881053667E-26</v>
      </c>
      <c r="AX196" s="21">
        <f t="shared" si="166"/>
        <v>13.945452428535177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319</v>
      </c>
      <c r="BE196" s="13">
        <f>BD196*VLOOKUP('Données projet'!$B$11,Paramètres!$A$1:$I$89,3,0)*VLOOKUP('Données projet'!$B$11,Paramètres!$A$1:$I$89,5,0)</f>
        <v>253.79640000000001</v>
      </c>
      <c r="BF196" s="13">
        <f t="shared" si="167"/>
        <v>61.39816832228076</v>
      </c>
      <c r="BG196" s="20">
        <f t="shared" si="168"/>
        <v>548.96387316130563</v>
      </c>
      <c r="BH196" s="59">
        <f t="shared" ref="BH196:BH203" si="194">BG196+(AY196+AZ196)*44/12</f>
        <v>842.29720649463889</v>
      </c>
      <c r="BI196" s="59">
        <f ca="1">AVERAGE(OFFSET($BH$3,0,0,'Données projet'!$E$11+1,1))-AVERAGE(OFFSET($H$3,0,0,'Données projet'!$E$11+1,1))</f>
        <v>279.49721661620544</v>
      </c>
      <c r="BJ196" s="59">
        <f t="shared" si="146"/>
        <v>275.18739333988754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5.6722507596608072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5.6722507596608072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266.99999999999983</v>
      </c>
      <c r="BZ196" s="13">
        <f>BY196*VLOOKUP('Données projet'!$B$12,Paramètres!$A$1:$I$89,3,0)*VLOOKUP('Données projet'!$B$12,Paramètres!$A$1:$I$89,5,0)</f>
        <v>258.24239999999986</v>
      </c>
      <c r="CA196" s="13">
        <f t="shared" si="170"/>
        <v>62.347580891234152</v>
      </c>
      <c r="CB196" s="20">
        <f t="shared" si="171"/>
        <v>558.3608833855659</v>
      </c>
      <c r="CC196" s="59">
        <f t="shared" ref="CC196:CC203" si="195">CB196+(BT196+BU196)*44/12</f>
        <v>851.69421671889927</v>
      </c>
      <c r="CD196" s="59">
        <f ca="1">AVERAGE(OFFSET($CC$3,0,0,'Données projet'!$E$12+1,1))-AVERAGE(OFFSET($H$3,0,0,'Données projet'!$E$12+1,1))</f>
        <v>281.84871057356037</v>
      </c>
      <c r="CE196" s="59">
        <f t="shared" si="148"/>
        <v>276.02211904126887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4.5653559581876841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4.5653559581876841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319</v>
      </c>
      <c r="CU196" s="17">
        <f>CT196*VLOOKUP('Données projet'!$B$13,Paramètres!$A$1:$I$89,3,0)*VLOOKUP('Données projet'!$B$13,Paramètres!$A$1:$I$89,5,0)</f>
        <v>253.79640000000001</v>
      </c>
      <c r="CV196" s="13">
        <f t="shared" si="173"/>
        <v>61.39816832228076</v>
      </c>
      <c r="CW196" s="20">
        <f t="shared" si="174"/>
        <v>548.96387316130563</v>
      </c>
      <c r="CX196" s="59">
        <f t="shared" ref="CX196:CX203" si="196">CW196+(CO196+CP196)*44/12</f>
        <v>842.29720649463889</v>
      </c>
      <c r="CY196" s="59">
        <f ca="1">AVERAGE(OFFSET($CX$3,0,0,'Données projet'!$E$13+1,1))-AVERAGE(OFFSET($H$3,0,0,'Données projet'!$E$13+1,1))</f>
        <v>279.49721661620544</v>
      </c>
      <c r="CZ196" s="59">
        <f t="shared" si="150"/>
        <v>275.18739333988754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5.6722507596608072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5.6722507596608072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267</v>
      </c>
      <c r="DP196" s="17">
        <f>DO196*VLOOKUP('Données projet'!$B$14,Paramètres!$A$1:$I$89,3,0)*VLOOKUP('Données projet'!$B$14,Paramètres!$A$1:$I$89,5,0)</f>
        <v>270.738</v>
      </c>
      <c r="DQ196" s="13">
        <f t="shared" si="176"/>
        <v>65.005866623551711</v>
      </c>
      <c r="DR196" s="20">
        <f t="shared" si="177"/>
        <v>584.7539010360191</v>
      </c>
      <c r="DS196" s="59">
        <f t="shared" ref="DS196:DS203" si="197">DR196+(DJ196+DK196)*44/12</f>
        <v>878.08723436935247</v>
      </c>
      <c r="DT196" s="59">
        <f ca="1">AVERAGE(OFFSET($DS$3,0,0,'Données projet'!$E$14+1,1))-AVERAGE(OFFSET($H$3,0,0,'Données projet'!$E$14+1,1))</f>
        <v>308.80022073574963</v>
      </c>
      <c r="DU196" s="59">
        <f t="shared" si="152"/>
        <v>183.96267407004115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18.07434148746108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18.07434148746108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266.99999999999983</v>
      </c>
      <c r="EK196" s="17">
        <f>EJ196*VLOOKUP('Données projet'!$B$15,Paramètres!$A$1:$I$89,3,0)*VLOOKUP('Données projet'!$B$15,Paramètres!$A$1:$I$89,5,0)</f>
        <v>174.93839999999989</v>
      </c>
      <c r="EL196" s="13">
        <f t="shared" si="179"/>
        <v>44.194210865203175</v>
      </c>
      <c r="EM196" s="20">
        <f t="shared" si="180"/>
        <v>381.65596392356196</v>
      </c>
      <c r="EN196" s="59">
        <f t="shared" ref="EN196:EN203" si="198">EM196+(EE196+EF196)*44/12</f>
        <v>674.98929725689527</v>
      </c>
      <c r="EO196" s="59">
        <f ca="1">AVERAGE(OFFSET($EN$3,0,0,'Données projet'!$E$15+1,1))-AVERAGE(OFFSET($H$3,0,0,'Données projet'!$E$15+1,1))</f>
        <v>178.71569711875242</v>
      </c>
      <c r="EP196" s="59">
        <f t="shared" si="154"/>
        <v>178.13848582064168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3.0926604878045567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3.0926604878045567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267</v>
      </c>
      <c r="FF196" s="17">
        <f>FE196*VLOOKUP('Données projet'!$B$16,Paramètres!$A$1:$I$89,3,0)*VLOOKUP('Données projet'!$B$16,Paramètres!$A$1:$I$89,5,0)</f>
        <v>224.92080000000001</v>
      </c>
      <c r="FG196" s="13">
        <f t="shared" si="182"/>
        <v>55.1830164775604</v>
      </c>
      <c r="FH196" s="20">
        <f t="shared" si="183"/>
        <v>487.84748036508444</v>
      </c>
      <c r="FI196" s="59">
        <f t="shared" ref="FI196:FI203" si="199">FH196+(EZ196+FA196)*44/12</f>
        <v>781.18081369841775</v>
      </c>
      <c r="FJ196" s="59">
        <f ca="1">AVERAGE(OFFSET($FI$3,0,0,'Données projet'!$E$16+1,1))-AVERAGE(OFFSET($H$3,0,0,'Données projet'!$E$16+1,1))</f>
        <v>247.22536892257716</v>
      </c>
      <c r="FK196" s="59">
        <f t="shared" si="156"/>
        <v>147.97952262756075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15.015606774198465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15.015606774198465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6">
        <f t="shared" si="192"/>
        <v>500.0287463563966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249.0000000000002</v>
      </c>
      <c r="O197" s="13">
        <f>N197*VLOOKUP('Données projet'!$B$9,Paramètres!$A$1:$I$89,3,0)*VLOOKUP('Données projet'!$B$9,Paramètres!$A$1:$I$89,5,0)</f>
        <v>217.52640000000019</v>
      </c>
      <c r="P197" s="13">
        <f t="shared" ref="P197:P203" si="203">EXP(-1.0587+0.8836*LN(O197)+0.284)</f>
        <v>53.576907690651304</v>
      </c>
      <c r="Q197" s="20">
        <f t="shared" si="162"/>
        <v>472.17159422788467</v>
      </c>
      <c r="R197" s="59">
        <f t="shared" si="191"/>
        <v>765.50492756121798</v>
      </c>
      <c r="S197" s="59">
        <f ca="1">AVERAGE(OFFSET($R$3,0,0,'Données projet'!$E$9+1,1))-AVERAGE(OFFSET($H$3,0,0,'Données projet'!$E$9+1,1))</f>
        <v>253.73326067725128</v>
      </c>
      <c r="T197" s="59">
        <f t="shared" ref="T197:T203" si="204">$T$3</f>
        <v>317.76427047458026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5.3583507004773061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5.3583507004773061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732.99999999999966</v>
      </c>
      <c r="AJ197" s="13">
        <f>AI197*VLOOKUP('Données projet'!$B$10,Paramètres!$A$1:$I$89,3,0)*VLOOKUP('Données projet'!$B$10,Paramètres!$A$1:$I$89,5,0)</f>
        <v>352.57299999999987</v>
      </c>
      <c r="AK197" s="13">
        <f t="shared" si="164"/>
        <v>82.092092597941644</v>
      </c>
      <c r="AL197" s="20">
        <f t="shared" si="165"/>
        <v>757.04170294141477</v>
      </c>
      <c r="AM197" s="59">
        <f t="shared" si="193"/>
        <v>1050.375036274748</v>
      </c>
      <c r="AN197" s="59">
        <f ca="1">AVERAGE(OFFSET($AM$3,0,0,'Données projet'!$E$10+1,1))-AVERAGE(OFFSET($H$3,0,0,'Données projet'!$E$10+1,1))</f>
        <v>349.65790906807746</v>
      </c>
      <c r="AO197" s="59">
        <f t="shared" ref="AO197:AO203" si="205">$AO$3</f>
        <v>291.88925884278888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13.231926110641957</v>
      </c>
      <c r="AV197" s="21">
        <f>EXP(-LN(2)/25)*AV196+(1-EXP(-LN(2)/25))/(LN(2)/25)*Calculateur!AQ197*Calculateur!AS197*VLOOKUP('Données projet'!$B$10,Paramètres!$A$1:$I$89,3,0)*0.475*44/12</f>
        <v>0.43659222189232394</v>
      </c>
      <c r="AW197" s="21">
        <f>EXP(-LN(2)/2)*AW196+(1-EXP(-LN(2)/2))/(LN(2)/2)*AQ197*AT197*VLOOKUP('Données projet'!$B$10,Paramètres!$A$1:$I$89,3,0)*0.475*44/12</f>
        <v>1.0558257450167511E-26</v>
      </c>
      <c r="AX197" s="21">
        <f t="shared" si="166"/>
        <v>13.668518332534282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319</v>
      </c>
      <c r="BE197" s="13">
        <f>BD197*VLOOKUP('Données projet'!$B$11,Paramètres!$A$1:$I$89,3,0)*VLOOKUP('Données projet'!$B$11,Paramètres!$A$1:$I$89,5,0)</f>
        <v>253.79640000000001</v>
      </c>
      <c r="BF197" s="13">
        <f t="shared" si="167"/>
        <v>61.39816832228076</v>
      </c>
      <c r="BG197" s="20">
        <f t="shared" si="168"/>
        <v>548.96387316130563</v>
      </c>
      <c r="BH197" s="59">
        <f t="shared" si="194"/>
        <v>842.29720649463889</v>
      </c>
      <c r="BI197" s="59">
        <f ca="1">AVERAGE(OFFSET($BH$3,0,0,'Données projet'!$E$11+1,1))-AVERAGE(OFFSET($H$3,0,0,'Données projet'!$E$11+1,1))</f>
        <v>279.49721661620544</v>
      </c>
      <c r="BJ197" s="59">
        <f t="shared" ref="BJ197:BJ203" si="206">$BJ$3</f>
        <v>275.18739333988754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5.5610213819952019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5.5610213819952019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266.99999999999983</v>
      </c>
      <c r="BZ197" s="13">
        <f>BY197*VLOOKUP('Données projet'!$B$12,Paramètres!$A$1:$I$89,3,0)*VLOOKUP('Données projet'!$B$12,Paramètres!$A$1:$I$89,5,0)</f>
        <v>258.24239999999986</v>
      </c>
      <c r="CA197" s="13">
        <f t="shared" si="170"/>
        <v>62.347580891234152</v>
      </c>
      <c r="CB197" s="20">
        <f t="shared" si="171"/>
        <v>558.3608833855659</v>
      </c>
      <c r="CC197" s="59">
        <f t="shared" si="195"/>
        <v>851.69421671889927</v>
      </c>
      <c r="CD197" s="59">
        <f ca="1">AVERAGE(OFFSET($CC$3,0,0,'Données projet'!$E$12+1,1))-AVERAGE(OFFSET($H$3,0,0,'Données projet'!$E$12+1,1))</f>
        <v>281.84871057356037</v>
      </c>
      <c r="CE197" s="59">
        <f t="shared" ref="CE197:CE203" si="207">$CE$3</f>
        <v>276.02211904126887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4.4758321124398028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4.4758321124398028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319</v>
      </c>
      <c r="CU197" s="17">
        <f>CT197*VLOOKUP('Données projet'!$B$13,Paramètres!$A$1:$I$89,3,0)*VLOOKUP('Données projet'!$B$13,Paramètres!$A$1:$I$89,5,0)</f>
        <v>253.79640000000001</v>
      </c>
      <c r="CV197" s="13">
        <f t="shared" si="173"/>
        <v>61.39816832228076</v>
      </c>
      <c r="CW197" s="20">
        <f t="shared" si="174"/>
        <v>548.96387316130563</v>
      </c>
      <c r="CX197" s="59">
        <f t="shared" si="196"/>
        <v>842.29720649463889</v>
      </c>
      <c r="CY197" s="59">
        <f ca="1">AVERAGE(OFFSET($CX$3,0,0,'Données projet'!$E$13+1,1))-AVERAGE(OFFSET($H$3,0,0,'Données projet'!$E$13+1,1))</f>
        <v>279.49721661620544</v>
      </c>
      <c r="CZ197" s="59">
        <f t="shared" ref="CZ197:CZ203" si="208">$CZ$3</f>
        <v>275.18739333988754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5.5610213819952019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5.5610213819952019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267</v>
      </c>
      <c r="DP197" s="17">
        <f>DO197*VLOOKUP('Données projet'!$B$14,Paramètres!$A$1:$I$89,3,0)*VLOOKUP('Données projet'!$B$14,Paramètres!$A$1:$I$89,5,0)</f>
        <v>270.738</v>
      </c>
      <c r="DQ197" s="13">
        <f t="shared" si="176"/>
        <v>65.005866623551711</v>
      </c>
      <c r="DR197" s="20">
        <f t="shared" si="177"/>
        <v>584.7539010360191</v>
      </c>
      <c r="DS197" s="59">
        <f t="shared" si="197"/>
        <v>878.08723436935247</v>
      </c>
      <c r="DT197" s="59">
        <f ca="1">AVERAGE(OFFSET($DS$3,0,0,'Données projet'!$E$14+1,1))-AVERAGE(OFFSET($H$3,0,0,'Données projet'!$E$14+1,1))</f>
        <v>308.80022073574963</v>
      </c>
      <c r="DU197" s="59">
        <f t="shared" ref="DU197:DU203" si="209">$DU$3</f>
        <v>183.96267407004115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17.71991467515172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17.71991467515172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266.99999999999983</v>
      </c>
      <c r="EK197" s="17">
        <f>EJ197*VLOOKUP('Données projet'!$B$15,Paramètres!$A$1:$I$89,3,0)*VLOOKUP('Données projet'!$B$15,Paramètres!$A$1:$I$89,5,0)</f>
        <v>174.93839999999989</v>
      </c>
      <c r="EL197" s="13">
        <f t="shared" si="179"/>
        <v>44.194210865203175</v>
      </c>
      <c r="EM197" s="20">
        <f t="shared" si="180"/>
        <v>381.65596392356196</v>
      </c>
      <c r="EN197" s="59">
        <f t="shared" si="198"/>
        <v>674.98929725689527</v>
      </c>
      <c r="EO197" s="59">
        <f ca="1">AVERAGE(OFFSET($EN$3,0,0,'Données projet'!$E$15+1,1))-AVERAGE(OFFSET($H$3,0,0,'Données projet'!$E$15+1,1))</f>
        <v>178.71569711875242</v>
      </c>
      <c r="EP197" s="59">
        <f t="shared" ref="EP197:EP203" si="210">$EP$3</f>
        <v>178.13848582064168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3.0320153019753469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3.0320153019753469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267</v>
      </c>
      <c r="FF197" s="17">
        <f>FE197*VLOOKUP('Données projet'!$B$16,Paramètres!$A$1:$I$89,3,0)*VLOOKUP('Données projet'!$B$16,Paramètres!$A$1:$I$89,5,0)</f>
        <v>224.92080000000001</v>
      </c>
      <c r="FG197" s="13">
        <f t="shared" si="182"/>
        <v>55.1830164775604</v>
      </c>
      <c r="FH197" s="20">
        <f t="shared" si="183"/>
        <v>487.84748036508444</v>
      </c>
      <c r="FI197" s="59">
        <f t="shared" si="199"/>
        <v>781.18081369841775</v>
      </c>
      <c r="FJ197" s="59">
        <f ca="1">AVERAGE(OFFSET($FI$3,0,0,'Données projet'!$E$16+1,1))-AVERAGE(OFFSET($H$3,0,0,'Données projet'!$E$16+1,1))</f>
        <v>247.22536892257716</v>
      </c>
      <c r="FK197" s="59">
        <f t="shared" ref="FK197:FK203" si="211">$FK$3</f>
        <v>147.97952262756075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14.721159883972227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14.721159883972227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6">
        <f t="shared" si="192"/>
        <v>501.06762226901623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249.0000000000002</v>
      </c>
      <c r="O198" s="13">
        <f>N198*VLOOKUP('Données projet'!$B$9,Paramètres!$A$1:$I$89,3,0)*VLOOKUP('Données projet'!$B$9,Paramètres!$A$1:$I$89,5,0)</f>
        <v>217.52640000000019</v>
      </c>
      <c r="P198" s="13">
        <f t="shared" si="203"/>
        <v>53.576907690651304</v>
      </c>
      <c r="Q198" s="20">
        <f t="shared" si="162"/>
        <v>472.17159422788467</v>
      </c>
      <c r="R198" s="59">
        <f t="shared" si="191"/>
        <v>765.50492756121798</v>
      </c>
      <c r="S198" s="59">
        <f ca="1">AVERAGE(OFFSET($R$3,0,0,'Données projet'!$E$9+1,1))-AVERAGE(OFFSET($H$3,0,0,'Données projet'!$E$9+1,1))</f>
        <v>253.73326067725128</v>
      </c>
      <c r="T198" s="59">
        <f t="shared" si="204"/>
        <v>317.76427047458026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5.2532767115121581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5.2532767115121581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732.99999999999966</v>
      </c>
      <c r="AJ198" s="13">
        <f>AI198*VLOOKUP('Données projet'!$B$10,Paramètres!$A$1:$I$89,3,0)*VLOOKUP('Données projet'!$B$10,Paramètres!$A$1:$I$89,5,0)</f>
        <v>352.57299999999987</v>
      </c>
      <c r="AK198" s="13">
        <f t="shared" si="164"/>
        <v>82.092092597941644</v>
      </c>
      <c r="AL198" s="20">
        <f t="shared" si="165"/>
        <v>757.04170294141477</v>
      </c>
      <c r="AM198" s="59">
        <f t="shared" si="193"/>
        <v>1050.375036274748</v>
      </c>
      <c r="AN198" s="59">
        <f ca="1">AVERAGE(OFFSET($AM$3,0,0,'Données projet'!$E$10+1,1))-AVERAGE(OFFSET($H$3,0,0,'Données projet'!$E$10+1,1))</f>
        <v>349.65790906807746</v>
      </c>
      <c r="AO198" s="59">
        <f t="shared" si="205"/>
        <v>291.88925884278888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12.972456110290283</v>
      </c>
      <c r="AV198" s="21">
        <f>EXP(-LN(2)/25)*AV197+(1-EXP(-LN(2)/25))/(LN(2)/25)*Calculateur!AQ198*Calculateur!AS198*VLOOKUP('Données projet'!$B$10,Paramètres!$A$1:$I$89,3,0)*0.475*44/12</f>
        <v>0.42465358462529124</v>
      </c>
      <c r="AW198" s="21">
        <f>EXP(-LN(2)/2)*AW197+(1-EXP(-LN(2)/2))/(LN(2)/2)*AQ198*AT198*VLOOKUP('Données projet'!$B$10,Paramètres!$A$1:$I$89,3,0)*0.475*44/12</f>
        <v>7.4658154405268337E-27</v>
      </c>
      <c r="AX198" s="21">
        <f t="shared" si="166"/>
        <v>13.397109694915574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319</v>
      </c>
      <c r="BE198" s="13">
        <f>BD198*VLOOKUP('Données projet'!$B$11,Paramètres!$A$1:$I$89,3,0)*VLOOKUP('Données projet'!$B$11,Paramètres!$A$1:$I$89,5,0)</f>
        <v>253.79640000000001</v>
      </c>
      <c r="BF198" s="13">
        <f t="shared" si="167"/>
        <v>61.39816832228076</v>
      </c>
      <c r="BG198" s="20">
        <f t="shared" si="168"/>
        <v>548.96387316130563</v>
      </c>
      <c r="BH198" s="59">
        <f t="shared" si="194"/>
        <v>842.29720649463889</v>
      </c>
      <c r="BI198" s="59">
        <f ca="1">AVERAGE(OFFSET($BH$3,0,0,'Données projet'!$E$11+1,1))-AVERAGE(OFFSET($H$3,0,0,'Données projet'!$E$11+1,1))</f>
        <v>279.49721661620544</v>
      </c>
      <c r="BJ198" s="59">
        <f t="shared" si="206"/>
        <v>275.18739333988754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5.4519731445823982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5.4519731445823982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266.99999999999983</v>
      </c>
      <c r="BZ198" s="13">
        <f>BY198*VLOOKUP('Données projet'!$B$12,Paramètres!$A$1:$I$89,3,0)*VLOOKUP('Données projet'!$B$12,Paramètres!$A$1:$I$89,5,0)</f>
        <v>258.24239999999986</v>
      </c>
      <c r="CA198" s="13">
        <f t="shared" si="170"/>
        <v>62.347580891234152</v>
      </c>
      <c r="CB198" s="20">
        <f t="shared" si="171"/>
        <v>558.3608833855659</v>
      </c>
      <c r="CC198" s="59">
        <f t="shared" si="195"/>
        <v>851.69421671889927</v>
      </c>
      <c r="CD198" s="59">
        <f ca="1">AVERAGE(OFFSET($CC$3,0,0,'Données projet'!$E$12+1,1))-AVERAGE(OFFSET($H$3,0,0,'Données projet'!$E$12+1,1))</f>
        <v>281.84871057356037</v>
      </c>
      <c r="CE198" s="59">
        <f t="shared" si="207"/>
        <v>276.02211904126887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4.388063774702883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4.388063774702883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319</v>
      </c>
      <c r="CU198" s="17">
        <f>CT198*VLOOKUP('Données projet'!$B$13,Paramètres!$A$1:$I$89,3,0)*VLOOKUP('Données projet'!$B$13,Paramètres!$A$1:$I$89,5,0)</f>
        <v>253.79640000000001</v>
      </c>
      <c r="CV198" s="13">
        <f t="shared" si="173"/>
        <v>61.39816832228076</v>
      </c>
      <c r="CW198" s="20">
        <f t="shared" si="174"/>
        <v>548.96387316130563</v>
      </c>
      <c r="CX198" s="59">
        <f t="shared" si="196"/>
        <v>842.29720649463889</v>
      </c>
      <c r="CY198" s="59">
        <f ca="1">AVERAGE(OFFSET($CX$3,0,0,'Données projet'!$E$13+1,1))-AVERAGE(OFFSET($H$3,0,0,'Données projet'!$E$13+1,1))</f>
        <v>279.49721661620544</v>
      </c>
      <c r="CZ198" s="59">
        <f t="shared" si="208"/>
        <v>275.18739333988754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5.4519731445823982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5.4519731445823982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267</v>
      </c>
      <c r="DP198" s="17">
        <f>DO198*VLOOKUP('Données projet'!$B$14,Paramètres!$A$1:$I$89,3,0)*VLOOKUP('Données projet'!$B$14,Paramètres!$A$1:$I$89,5,0)</f>
        <v>270.738</v>
      </c>
      <c r="DQ198" s="13">
        <f t="shared" si="176"/>
        <v>65.005866623551711</v>
      </c>
      <c r="DR198" s="20">
        <f t="shared" si="177"/>
        <v>584.7539010360191</v>
      </c>
      <c r="DS198" s="59">
        <f t="shared" si="197"/>
        <v>878.08723436935247</v>
      </c>
      <c r="DT198" s="59">
        <f ca="1">AVERAGE(OFFSET($DS$3,0,0,'Données projet'!$E$14+1,1))-AVERAGE(OFFSET($H$3,0,0,'Données projet'!$E$14+1,1))</f>
        <v>308.80022073574963</v>
      </c>
      <c r="DU198" s="59">
        <f t="shared" si="209"/>
        <v>183.96267407004115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17.372437956452739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17.372437956452739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266.99999999999983</v>
      </c>
      <c r="EK198" s="17">
        <f>EJ198*VLOOKUP('Données projet'!$B$15,Paramètres!$A$1:$I$89,3,0)*VLOOKUP('Données projet'!$B$15,Paramètres!$A$1:$I$89,5,0)</f>
        <v>174.93839999999989</v>
      </c>
      <c r="EL198" s="13">
        <f t="shared" si="179"/>
        <v>44.194210865203175</v>
      </c>
      <c r="EM198" s="20">
        <f t="shared" si="180"/>
        <v>381.65596392356196</v>
      </c>
      <c r="EN198" s="59">
        <f t="shared" si="198"/>
        <v>674.98929725689527</v>
      </c>
      <c r="EO198" s="59">
        <f ca="1">AVERAGE(OFFSET($EN$3,0,0,'Données projet'!$E$15+1,1))-AVERAGE(OFFSET($H$3,0,0,'Données projet'!$E$15+1,1))</f>
        <v>178.71569711875242</v>
      </c>
      <c r="EP198" s="59">
        <f t="shared" si="210"/>
        <v>178.13848582064168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2.9725593312503369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2.9725593312503369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267</v>
      </c>
      <c r="FF198" s="17">
        <f>FE198*VLOOKUP('Données projet'!$B$16,Paramètres!$A$1:$I$89,3,0)*VLOOKUP('Données projet'!$B$16,Paramètres!$A$1:$I$89,5,0)</f>
        <v>224.92080000000001</v>
      </c>
      <c r="FG198" s="13">
        <f t="shared" si="182"/>
        <v>55.1830164775604</v>
      </c>
      <c r="FH198" s="20">
        <f t="shared" si="183"/>
        <v>487.84748036508444</v>
      </c>
      <c r="FI198" s="59">
        <f t="shared" si="199"/>
        <v>781.18081369841775</v>
      </c>
      <c r="FJ198" s="59">
        <f ca="1">AVERAGE(OFFSET($FI$3,0,0,'Données projet'!$E$16+1,1))-AVERAGE(OFFSET($H$3,0,0,'Données projet'!$E$16+1,1))</f>
        <v>247.22536892257716</v>
      </c>
      <c r="FK198" s="59">
        <f t="shared" si="211"/>
        <v>147.97952262756075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14.432486917668456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14.432486917668456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6">
        <f t="shared" si="192"/>
        <v>502.10637815523307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249.0000000000002</v>
      </c>
      <c r="O199" s="13">
        <f>N199*VLOOKUP('Données projet'!$B$9,Paramètres!$A$1:$I$89,3,0)*VLOOKUP('Données projet'!$B$9,Paramètres!$A$1:$I$89,5,0)</f>
        <v>217.52640000000019</v>
      </c>
      <c r="P199" s="13">
        <f t="shared" si="203"/>
        <v>53.576907690651304</v>
      </c>
      <c r="Q199" s="20">
        <f t="shared" si="162"/>
        <v>472.17159422788467</v>
      </c>
      <c r="R199" s="59">
        <f t="shared" si="191"/>
        <v>765.50492756121798</v>
      </c>
      <c r="S199" s="59">
        <f ca="1">AVERAGE(OFFSET($R$3,0,0,'Données projet'!$E$9+1,1))-AVERAGE(OFFSET($H$3,0,0,'Données projet'!$E$9+1,1))</f>
        <v>253.73326067725128</v>
      </c>
      <c r="T199" s="59">
        <f t="shared" si="204"/>
        <v>317.76427047458026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5.1502631593818116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5.1502631593818116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732.99999999999966</v>
      </c>
      <c r="AJ199" s="13">
        <f>AI199*VLOOKUP('Données projet'!$B$10,Paramètres!$A$1:$I$89,3,0)*VLOOKUP('Données projet'!$B$10,Paramètres!$A$1:$I$89,5,0)</f>
        <v>352.57299999999987</v>
      </c>
      <c r="AK199" s="13">
        <f t="shared" si="164"/>
        <v>82.092092597941644</v>
      </c>
      <c r="AL199" s="20">
        <f t="shared" si="165"/>
        <v>757.04170294141477</v>
      </c>
      <c r="AM199" s="59">
        <f t="shared" si="193"/>
        <v>1050.375036274748</v>
      </c>
      <c r="AN199" s="59">
        <f ca="1">AVERAGE(OFFSET($AM$3,0,0,'Données projet'!$E$10+1,1))-AVERAGE(OFFSET($H$3,0,0,'Données projet'!$E$10+1,1))</f>
        <v>349.65790906807746</v>
      </c>
      <c r="AO199" s="59">
        <f t="shared" si="205"/>
        <v>291.88925884278888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12.718074158384431</v>
      </c>
      <c r="AV199" s="21">
        <f>EXP(-LN(2)/25)*AV198+(1-EXP(-LN(2)/25))/(LN(2)/25)*Calculateur!AQ199*Calculateur!AS199*VLOOKUP('Données projet'!$B$10,Paramètres!$A$1:$I$89,3,0)*0.475*44/12</f>
        <v>0.41304141002215117</v>
      </c>
      <c r="AW199" s="21">
        <f>EXP(-LN(2)/2)*AW198+(1-EXP(-LN(2)/2))/(LN(2)/2)*AQ199*AT199*VLOOKUP('Données projet'!$B$10,Paramètres!$A$1:$I$89,3,0)*0.475*44/12</f>
        <v>5.2791287250837557E-27</v>
      </c>
      <c r="AX199" s="21">
        <f t="shared" si="166"/>
        <v>13.131115568406582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319</v>
      </c>
      <c r="BE199" s="13">
        <f>BD199*VLOOKUP('Données projet'!$B$11,Paramètres!$A$1:$I$89,3,0)*VLOOKUP('Données projet'!$B$11,Paramètres!$A$1:$I$89,5,0)</f>
        <v>253.79640000000001</v>
      </c>
      <c r="BF199" s="13">
        <f t="shared" si="167"/>
        <v>61.39816832228076</v>
      </c>
      <c r="BG199" s="20">
        <f t="shared" si="168"/>
        <v>548.96387316130563</v>
      </c>
      <c r="BH199" s="59">
        <f t="shared" si="194"/>
        <v>842.29720649463889</v>
      </c>
      <c r="BI199" s="59">
        <f ca="1">AVERAGE(OFFSET($BH$3,0,0,'Données projet'!$E$11+1,1))-AVERAGE(OFFSET($H$3,0,0,'Données projet'!$E$11+1,1))</f>
        <v>279.49721661620544</v>
      </c>
      <c r="BJ199" s="59">
        <f t="shared" si="206"/>
        <v>275.18739333988754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5.345063276592402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5.345063276592402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266.99999999999983</v>
      </c>
      <c r="BZ199" s="13">
        <f>BY199*VLOOKUP('Données projet'!$B$12,Paramètres!$A$1:$I$89,3,0)*VLOOKUP('Données projet'!$B$12,Paramètres!$A$1:$I$89,5,0)</f>
        <v>258.24239999999986</v>
      </c>
      <c r="CA199" s="13">
        <f t="shared" si="170"/>
        <v>62.347580891234152</v>
      </c>
      <c r="CB199" s="20">
        <f t="shared" si="171"/>
        <v>558.3608833855659</v>
      </c>
      <c r="CC199" s="59">
        <f t="shared" si="195"/>
        <v>851.69421671889927</v>
      </c>
      <c r="CD199" s="59">
        <f ca="1">AVERAGE(OFFSET($CC$3,0,0,'Données projet'!$E$12+1,1))-AVERAGE(OFFSET($H$3,0,0,'Données projet'!$E$12+1,1))</f>
        <v>281.84871057356037</v>
      </c>
      <c r="CE199" s="59">
        <f t="shared" si="207"/>
        <v>276.02211904126887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4.3020165205355845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4.3020165205355845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319</v>
      </c>
      <c r="CU199" s="17">
        <f>CT199*VLOOKUP('Données projet'!$B$13,Paramètres!$A$1:$I$89,3,0)*VLOOKUP('Données projet'!$B$13,Paramètres!$A$1:$I$89,5,0)</f>
        <v>253.79640000000001</v>
      </c>
      <c r="CV199" s="13">
        <f t="shared" si="173"/>
        <v>61.39816832228076</v>
      </c>
      <c r="CW199" s="20">
        <f t="shared" si="174"/>
        <v>548.96387316130563</v>
      </c>
      <c r="CX199" s="59">
        <f t="shared" si="196"/>
        <v>842.29720649463889</v>
      </c>
      <c r="CY199" s="59">
        <f ca="1">AVERAGE(OFFSET($CX$3,0,0,'Données projet'!$E$13+1,1))-AVERAGE(OFFSET($H$3,0,0,'Données projet'!$E$13+1,1))</f>
        <v>279.49721661620544</v>
      </c>
      <c r="CZ199" s="59">
        <f t="shared" si="208"/>
        <v>275.18739333988754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5.345063276592402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5.345063276592402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267</v>
      </c>
      <c r="DP199" s="17">
        <f>DO199*VLOOKUP('Données projet'!$B$14,Paramètres!$A$1:$I$89,3,0)*VLOOKUP('Données projet'!$B$14,Paramètres!$A$1:$I$89,5,0)</f>
        <v>270.738</v>
      </c>
      <c r="DQ199" s="13">
        <f t="shared" si="176"/>
        <v>65.005866623551711</v>
      </c>
      <c r="DR199" s="20">
        <f t="shared" si="177"/>
        <v>584.7539010360191</v>
      </c>
      <c r="DS199" s="59">
        <f t="shared" si="197"/>
        <v>878.08723436935247</v>
      </c>
      <c r="DT199" s="59">
        <f ca="1">AVERAGE(OFFSET($DS$3,0,0,'Données projet'!$E$14+1,1))-AVERAGE(OFFSET($H$3,0,0,'Données projet'!$E$14+1,1))</f>
        <v>308.80022073574963</v>
      </c>
      <c r="DU199" s="59">
        <f t="shared" si="209"/>
        <v>183.96267407004115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17.031775044267572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17.031775044267572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266.99999999999983</v>
      </c>
      <c r="EK199" s="17">
        <f>EJ199*VLOOKUP('Données projet'!$B$15,Paramètres!$A$1:$I$89,3,0)*VLOOKUP('Données projet'!$B$15,Paramètres!$A$1:$I$89,5,0)</f>
        <v>174.93839999999989</v>
      </c>
      <c r="EL199" s="13">
        <f t="shared" si="179"/>
        <v>44.194210865203175</v>
      </c>
      <c r="EM199" s="20">
        <f t="shared" si="180"/>
        <v>381.65596392356196</v>
      </c>
      <c r="EN199" s="59">
        <f t="shared" si="198"/>
        <v>674.98929725689527</v>
      </c>
      <c r="EO199" s="59">
        <f ca="1">AVERAGE(OFFSET($EN$3,0,0,'Données projet'!$E$15+1,1))-AVERAGE(OFFSET($H$3,0,0,'Données projet'!$E$15+1,1))</f>
        <v>178.71569711875242</v>
      </c>
      <c r="EP199" s="59">
        <f t="shared" si="210"/>
        <v>178.13848582064168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2.9142692558466829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2.9142692558466829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267</v>
      </c>
      <c r="FF199" s="17">
        <f>FE199*VLOOKUP('Données projet'!$B$16,Paramètres!$A$1:$I$89,3,0)*VLOOKUP('Données projet'!$B$16,Paramètres!$A$1:$I$89,5,0)</f>
        <v>224.92080000000001</v>
      </c>
      <c r="FG199" s="13">
        <f t="shared" si="182"/>
        <v>55.1830164775604</v>
      </c>
      <c r="FH199" s="20">
        <f t="shared" si="183"/>
        <v>487.84748036508444</v>
      </c>
      <c r="FI199" s="59">
        <f t="shared" si="199"/>
        <v>781.18081369841775</v>
      </c>
      <c r="FJ199" s="59">
        <f ca="1">AVERAGE(OFFSET($FI$3,0,0,'Données projet'!$E$16+1,1))-AVERAGE(OFFSET($H$3,0,0,'Données projet'!$E$16+1,1))</f>
        <v>247.22536892257716</v>
      </c>
      <c r="FK199" s="59">
        <f t="shared" si="211"/>
        <v>147.97952262756075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14.149474652160778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14.149474652160778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6">
        <f t="shared" si="192"/>
        <v>503.14501469851064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249.0000000000002</v>
      </c>
      <c r="O200" s="13">
        <f>N200*VLOOKUP('Données projet'!$B$9,Paramètres!$A$1:$I$89,3,0)*VLOOKUP('Données projet'!$B$9,Paramètres!$A$1:$I$89,5,0)</f>
        <v>217.52640000000019</v>
      </c>
      <c r="P200" s="13">
        <f t="shared" si="203"/>
        <v>53.576907690651304</v>
      </c>
      <c r="Q200" s="20">
        <f t="shared" si="162"/>
        <v>472.17159422788467</v>
      </c>
      <c r="R200" s="59">
        <f t="shared" si="191"/>
        <v>765.50492756121798</v>
      </c>
      <c r="S200" s="59">
        <f ca="1">AVERAGE(OFFSET($R$3,0,0,'Données projet'!$E$9+1,1))-AVERAGE(OFFSET($H$3,0,0,'Données projet'!$E$9+1,1))</f>
        <v>253.73326067725128</v>
      </c>
      <c r="T200" s="59">
        <f t="shared" si="204"/>
        <v>317.76427047458026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5.0492696401766786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5.0492696401766786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732.99999999999966</v>
      </c>
      <c r="AJ200" s="13">
        <f>AI200*VLOOKUP('Données projet'!$B$10,Paramètres!$A$1:$I$89,3,0)*VLOOKUP('Données projet'!$B$10,Paramètres!$A$1:$I$89,5,0)</f>
        <v>352.57299999999987</v>
      </c>
      <c r="AK200" s="13">
        <f t="shared" si="164"/>
        <v>82.092092597941644</v>
      </c>
      <c r="AL200" s="20">
        <f t="shared" si="165"/>
        <v>757.04170294141477</v>
      </c>
      <c r="AM200" s="59">
        <f t="shared" si="193"/>
        <v>1050.375036274748</v>
      </c>
      <c r="AN200" s="59">
        <f ca="1">AVERAGE(OFFSET($AM$3,0,0,'Données projet'!$E$10+1,1))-AVERAGE(OFFSET($H$3,0,0,'Données projet'!$E$10+1,1))</f>
        <v>349.65790906807746</v>
      </c>
      <c r="AO200" s="59">
        <f t="shared" si="205"/>
        <v>291.88925884278888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12.468680481397783</v>
      </c>
      <c r="AV200" s="21">
        <f>EXP(-LN(2)/25)*AV199+(1-EXP(-LN(2)/25))/(LN(2)/25)*Calculateur!AQ200*Calculateur!AS200*VLOOKUP('Données projet'!$B$10,Paramètres!$A$1:$I$89,3,0)*0.475*44/12</f>
        <v>0.4017467709441917</v>
      </c>
      <c r="AW200" s="21">
        <f>EXP(-LN(2)/2)*AW199+(1-EXP(-LN(2)/2))/(LN(2)/2)*AQ200*AT200*VLOOKUP('Données projet'!$B$10,Paramètres!$A$1:$I$89,3,0)*0.475*44/12</f>
        <v>3.7329077202634169E-27</v>
      </c>
      <c r="AX200" s="21">
        <f t="shared" si="166"/>
        <v>12.870427252341974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319</v>
      </c>
      <c r="BE200" s="13">
        <f>BD200*VLOOKUP('Données projet'!$B$11,Paramètres!$A$1:$I$89,3,0)*VLOOKUP('Données projet'!$B$11,Paramètres!$A$1:$I$89,5,0)</f>
        <v>253.79640000000001</v>
      </c>
      <c r="BF200" s="13">
        <f t="shared" si="167"/>
        <v>61.39816832228076</v>
      </c>
      <c r="BG200" s="20">
        <f t="shared" si="168"/>
        <v>548.96387316130563</v>
      </c>
      <c r="BH200" s="59">
        <f t="shared" si="194"/>
        <v>842.29720649463889</v>
      </c>
      <c r="BI200" s="59">
        <f ca="1">AVERAGE(OFFSET($BH$3,0,0,'Données projet'!$E$11+1,1))-AVERAGE(OFFSET($H$3,0,0,'Données projet'!$E$11+1,1))</f>
        <v>279.49721661620544</v>
      </c>
      <c r="BJ200" s="59">
        <f t="shared" si="206"/>
        <v>275.18739333988754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5.240249845905109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5.240249845905109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266.99999999999983</v>
      </c>
      <c r="BZ200" s="13">
        <f>BY200*VLOOKUP('Données projet'!$B$12,Paramètres!$A$1:$I$89,3,0)*VLOOKUP('Données projet'!$B$12,Paramètres!$A$1:$I$89,5,0)</f>
        <v>258.24239999999986</v>
      </c>
      <c r="CA200" s="13">
        <f t="shared" si="170"/>
        <v>62.347580891234152</v>
      </c>
      <c r="CB200" s="20">
        <f t="shared" si="171"/>
        <v>558.3608833855659</v>
      </c>
      <c r="CC200" s="59">
        <f t="shared" si="195"/>
        <v>851.69421671889927</v>
      </c>
      <c r="CD200" s="59">
        <f ca="1">AVERAGE(OFFSET($CC$3,0,0,'Données projet'!$E$12+1,1))-AVERAGE(OFFSET($H$3,0,0,'Données projet'!$E$12+1,1))</f>
        <v>281.84871057356037</v>
      </c>
      <c r="CE200" s="59">
        <f t="shared" si="207"/>
        <v>276.02211904126887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4.2176566005388638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4.2176566005388638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319</v>
      </c>
      <c r="CU200" s="17">
        <f>CT200*VLOOKUP('Données projet'!$B$13,Paramètres!$A$1:$I$89,3,0)*VLOOKUP('Données projet'!$B$13,Paramètres!$A$1:$I$89,5,0)</f>
        <v>253.79640000000001</v>
      </c>
      <c r="CV200" s="13">
        <f t="shared" si="173"/>
        <v>61.39816832228076</v>
      </c>
      <c r="CW200" s="20">
        <f t="shared" si="174"/>
        <v>548.96387316130563</v>
      </c>
      <c r="CX200" s="59">
        <f t="shared" si="196"/>
        <v>842.29720649463889</v>
      </c>
      <c r="CY200" s="59">
        <f ca="1">AVERAGE(OFFSET($CX$3,0,0,'Données projet'!$E$13+1,1))-AVERAGE(OFFSET($H$3,0,0,'Données projet'!$E$13+1,1))</f>
        <v>279.49721661620544</v>
      </c>
      <c r="CZ200" s="59">
        <f t="shared" si="208"/>
        <v>275.18739333988754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5.240249845905109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5.240249845905109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267</v>
      </c>
      <c r="DP200" s="17">
        <f>DO200*VLOOKUP('Données projet'!$B$14,Paramètres!$A$1:$I$89,3,0)*VLOOKUP('Données projet'!$B$14,Paramètres!$A$1:$I$89,5,0)</f>
        <v>270.738</v>
      </c>
      <c r="DQ200" s="13">
        <f t="shared" si="176"/>
        <v>65.005866623551711</v>
      </c>
      <c r="DR200" s="20">
        <f t="shared" si="177"/>
        <v>584.7539010360191</v>
      </c>
      <c r="DS200" s="59">
        <f t="shared" si="197"/>
        <v>878.08723436935247</v>
      </c>
      <c r="DT200" s="59">
        <f ca="1">AVERAGE(OFFSET($DS$3,0,0,'Données projet'!$E$14+1,1))-AVERAGE(OFFSET($H$3,0,0,'Données projet'!$E$14+1,1))</f>
        <v>308.80022073574963</v>
      </c>
      <c r="DU200" s="59">
        <f t="shared" si="209"/>
        <v>183.96267407004115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16.697792324006496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16.697792324006496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266.99999999999983</v>
      </c>
      <c r="EK200" s="17">
        <f>EJ200*VLOOKUP('Données projet'!$B$15,Paramètres!$A$1:$I$89,3,0)*VLOOKUP('Données projet'!$B$15,Paramètres!$A$1:$I$89,5,0)</f>
        <v>174.93839999999989</v>
      </c>
      <c r="EL200" s="13">
        <f t="shared" si="179"/>
        <v>44.194210865203175</v>
      </c>
      <c r="EM200" s="20">
        <f t="shared" si="180"/>
        <v>381.65596392356196</v>
      </c>
      <c r="EN200" s="59">
        <f t="shared" si="198"/>
        <v>674.98929725689527</v>
      </c>
      <c r="EO200" s="59">
        <f ca="1">AVERAGE(OFFSET($EN$3,0,0,'Données projet'!$E$15+1,1))-AVERAGE(OFFSET($H$3,0,0,'Données projet'!$E$15+1,1))</f>
        <v>178.71569711875242</v>
      </c>
      <c r="EP200" s="59">
        <f t="shared" si="210"/>
        <v>178.13848582064168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2.857122213268259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2.857122213268259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267</v>
      </c>
      <c r="FF200" s="17">
        <f>FE200*VLOOKUP('Données projet'!$B$16,Paramètres!$A$1:$I$89,3,0)*VLOOKUP('Données projet'!$B$16,Paramètres!$A$1:$I$89,5,0)</f>
        <v>224.92080000000001</v>
      </c>
      <c r="FG200" s="13">
        <f t="shared" si="182"/>
        <v>55.1830164775604</v>
      </c>
      <c r="FH200" s="20">
        <f t="shared" si="183"/>
        <v>487.84748036508444</v>
      </c>
      <c r="FI200" s="59">
        <f t="shared" si="199"/>
        <v>781.18081369841775</v>
      </c>
      <c r="FJ200" s="59">
        <f ca="1">AVERAGE(OFFSET($FI$3,0,0,'Données projet'!$E$16+1,1))-AVERAGE(OFFSET($H$3,0,0,'Données projet'!$E$16+1,1))</f>
        <v>247.22536892257716</v>
      </c>
      <c r="FK200" s="59">
        <f t="shared" si="211"/>
        <v>147.97952262756075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13.87201208455927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13.87201208455927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6">
        <f t="shared" si="192"/>
        <v>504.18353257497199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249.0000000000002</v>
      </c>
      <c r="O201" s="13">
        <f>N201*VLOOKUP('Données projet'!$B$9,Paramètres!$A$1:$I$89,3,0)*VLOOKUP('Données projet'!$B$9,Paramètres!$A$1:$I$89,5,0)</f>
        <v>217.52640000000019</v>
      </c>
      <c r="P201" s="13">
        <f t="shared" si="203"/>
        <v>53.576907690651304</v>
      </c>
      <c r="Q201" s="20">
        <f t="shared" si="162"/>
        <v>472.17159422788467</v>
      </c>
      <c r="R201" s="59">
        <f t="shared" si="191"/>
        <v>765.50492756121798</v>
      </c>
      <c r="S201" s="59">
        <f ca="1">AVERAGE(OFFSET($R$3,0,0,'Données projet'!$E$9+1,1))-AVERAGE(OFFSET($H$3,0,0,'Données projet'!$E$9+1,1))</f>
        <v>253.73326067725128</v>
      </c>
      <c r="T201" s="59">
        <f t="shared" si="204"/>
        <v>317.76427047458026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4.9502565422831939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4.9502565422831939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732.99999999999966</v>
      </c>
      <c r="AJ201" s="13">
        <f>AI201*VLOOKUP('Données projet'!$B$10,Paramètres!$A$1:$I$89,3,0)*VLOOKUP('Données projet'!$B$10,Paramètres!$A$1:$I$89,5,0)</f>
        <v>352.57299999999987</v>
      </c>
      <c r="AK201" s="13">
        <f t="shared" si="164"/>
        <v>82.092092597941644</v>
      </c>
      <c r="AL201" s="20">
        <f t="shared" si="165"/>
        <v>757.04170294141477</v>
      </c>
      <c r="AM201" s="59">
        <f t="shared" si="193"/>
        <v>1050.375036274748</v>
      </c>
      <c r="AN201" s="59">
        <f ca="1">AVERAGE(OFFSET($AM$3,0,0,'Données projet'!$E$10+1,1))-AVERAGE(OFFSET($H$3,0,0,'Données projet'!$E$10+1,1))</f>
        <v>349.65790906807746</v>
      </c>
      <c r="AO201" s="59">
        <f t="shared" si="205"/>
        <v>291.88925884278888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12.224177262301721</v>
      </c>
      <c r="AV201" s="21">
        <f>EXP(-LN(2)/25)*AV200+(1-EXP(-LN(2)/25))/(LN(2)/25)*Calculateur!AQ201*Calculateur!AS201*VLOOKUP('Données projet'!$B$10,Paramètres!$A$1:$I$89,3,0)*0.475*44/12</f>
        <v>0.39076098436577827</v>
      </c>
      <c r="AW201" s="21">
        <f>EXP(-LN(2)/2)*AW200+(1-EXP(-LN(2)/2))/(LN(2)/2)*AQ201*AT201*VLOOKUP('Données projet'!$B$10,Paramètres!$A$1:$I$89,3,0)*0.475*44/12</f>
        <v>2.6395643625418779E-27</v>
      </c>
      <c r="AX201" s="21">
        <f t="shared" si="166"/>
        <v>12.614938246667499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319</v>
      </c>
      <c r="BE201" s="13">
        <f>BD201*VLOOKUP('Données projet'!$B$11,Paramètres!$A$1:$I$89,3,0)*VLOOKUP('Données projet'!$B$11,Paramètres!$A$1:$I$89,5,0)</f>
        <v>253.79640000000001</v>
      </c>
      <c r="BF201" s="13">
        <f t="shared" si="167"/>
        <v>61.39816832228076</v>
      </c>
      <c r="BG201" s="20">
        <f t="shared" si="168"/>
        <v>548.96387316130563</v>
      </c>
      <c r="BH201" s="59">
        <f t="shared" si="194"/>
        <v>842.29720649463889</v>
      </c>
      <c r="BI201" s="59">
        <f ca="1">AVERAGE(OFFSET($BH$3,0,0,'Données projet'!$E$11+1,1))-AVERAGE(OFFSET($H$3,0,0,'Données projet'!$E$11+1,1))</f>
        <v>279.49721661620544</v>
      </c>
      <c r="BJ201" s="59">
        <f t="shared" si="206"/>
        <v>275.18739333988754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5.1374917426637134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5.1374917426637134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266.99999999999983</v>
      </c>
      <c r="BZ201" s="13">
        <f>BY201*VLOOKUP('Données projet'!$B$12,Paramètres!$A$1:$I$89,3,0)*VLOOKUP('Données projet'!$B$12,Paramètres!$A$1:$I$89,5,0)</f>
        <v>258.24239999999986</v>
      </c>
      <c r="CA201" s="13">
        <f t="shared" si="170"/>
        <v>62.347580891234152</v>
      </c>
      <c r="CB201" s="20">
        <f t="shared" si="171"/>
        <v>558.3608833855659</v>
      </c>
      <c r="CC201" s="59">
        <f t="shared" si="195"/>
        <v>851.69421671889927</v>
      </c>
      <c r="CD201" s="59">
        <f ca="1">AVERAGE(OFFSET($CC$3,0,0,'Données projet'!$E$12+1,1))-AVERAGE(OFFSET($H$3,0,0,'Données projet'!$E$12+1,1))</f>
        <v>281.84871057356037</v>
      </c>
      <c r="CE201" s="59">
        <f t="shared" si="207"/>
        <v>276.02211904126887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4.1349509271188083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4.1349509271188083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319</v>
      </c>
      <c r="CU201" s="17">
        <f>CT201*VLOOKUP('Données projet'!$B$13,Paramètres!$A$1:$I$89,3,0)*VLOOKUP('Données projet'!$B$13,Paramètres!$A$1:$I$89,5,0)</f>
        <v>253.79640000000001</v>
      </c>
      <c r="CV201" s="13">
        <f t="shared" si="173"/>
        <v>61.39816832228076</v>
      </c>
      <c r="CW201" s="20">
        <f t="shared" si="174"/>
        <v>548.96387316130563</v>
      </c>
      <c r="CX201" s="59">
        <f t="shared" si="196"/>
        <v>842.29720649463889</v>
      </c>
      <c r="CY201" s="59">
        <f ca="1">AVERAGE(OFFSET($CX$3,0,0,'Données projet'!$E$13+1,1))-AVERAGE(OFFSET($H$3,0,0,'Données projet'!$E$13+1,1))</f>
        <v>279.49721661620544</v>
      </c>
      <c r="CZ201" s="59">
        <f t="shared" si="208"/>
        <v>275.18739333988754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5.1374917426637134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5.1374917426637134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267</v>
      </c>
      <c r="DP201" s="17">
        <f>DO201*VLOOKUP('Données projet'!$B$14,Paramètres!$A$1:$I$89,3,0)*VLOOKUP('Données projet'!$B$14,Paramètres!$A$1:$I$89,5,0)</f>
        <v>270.738</v>
      </c>
      <c r="DQ201" s="13">
        <f t="shared" si="176"/>
        <v>65.005866623551711</v>
      </c>
      <c r="DR201" s="20">
        <f t="shared" si="177"/>
        <v>584.7539010360191</v>
      </c>
      <c r="DS201" s="59">
        <f t="shared" si="197"/>
        <v>878.08723436935247</v>
      </c>
      <c r="DT201" s="59">
        <f ca="1">AVERAGE(OFFSET($DS$3,0,0,'Données projet'!$E$14+1,1))-AVERAGE(OFFSET($H$3,0,0,'Données projet'!$E$14+1,1))</f>
        <v>308.80022073574963</v>
      </c>
      <c r="DU201" s="59">
        <f t="shared" si="209"/>
        <v>183.96267407004115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16.370358801180394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16.370358801180394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266.99999999999983</v>
      </c>
      <c r="EK201" s="17">
        <f>EJ201*VLOOKUP('Données projet'!$B$15,Paramètres!$A$1:$I$89,3,0)*VLOOKUP('Données projet'!$B$15,Paramètres!$A$1:$I$89,5,0)</f>
        <v>174.93839999999989</v>
      </c>
      <c r="EL201" s="13">
        <f t="shared" si="179"/>
        <v>44.194210865203175</v>
      </c>
      <c r="EM201" s="20">
        <f t="shared" si="180"/>
        <v>381.65596392356196</v>
      </c>
      <c r="EN201" s="59">
        <f t="shared" si="198"/>
        <v>674.98929725689527</v>
      </c>
      <c r="EO201" s="59">
        <f ca="1">AVERAGE(OFFSET($EN$3,0,0,'Données projet'!$E$15+1,1))-AVERAGE(OFFSET($H$3,0,0,'Données projet'!$E$15+1,1))</f>
        <v>178.71569711875242</v>
      </c>
      <c r="EP201" s="59">
        <f t="shared" si="210"/>
        <v>178.13848582064168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2.801095789338544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2.801095789338544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267</v>
      </c>
      <c r="FF201" s="17">
        <f>FE201*VLOOKUP('Données projet'!$B$16,Paramètres!$A$1:$I$89,3,0)*VLOOKUP('Données projet'!$B$16,Paramètres!$A$1:$I$89,5,0)</f>
        <v>224.92080000000001</v>
      </c>
      <c r="FG201" s="13">
        <f t="shared" si="182"/>
        <v>55.1830164775604</v>
      </c>
      <c r="FH201" s="20">
        <f t="shared" si="183"/>
        <v>487.84748036508444</v>
      </c>
      <c r="FI201" s="59">
        <f t="shared" si="199"/>
        <v>781.18081369841775</v>
      </c>
      <c r="FJ201" s="59">
        <f ca="1">AVERAGE(OFFSET($FI$3,0,0,'Données projet'!$E$16+1,1))-AVERAGE(OFFSET($H$3,0,0,'Données projet'!$E$16+1,1))</f>
        <v>247.22536892257716</v>
      </c>
      <c r="FK201" s="59">
        <f t="shared" si="211"/>
        <v>147.97952262756075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13.599990388672971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13.599990388672971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6">
        <f t="shared" si="192"/>
        <v>505.22193245351531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249.0000000000002</v>
      </c>
      <c r="O202" s="13">
        <f>N202*VLOOKUP('Données projet'!$B$9,Paramètres!$A$1:$I$89,3,0)*VLOOKUP('Données projet'!$B$9,Paramètres!$A$1:$I$89,5,0)</f>
        <v>217.52640000000019</v>
      </c>
      <c r="P202" s="13">
        <f t="shared" si="203"/>
        <v>53.576907690651304</v>
      </c>
      <c r="Q202" s="20">
        <f t="shared" si="162"/>
        <v>472.17159422788467</v>
      </c>
      <c r="R202" s="59">
        <f t="shared" si="191"/>
        <v>765.50492756121798</v>
      </c>
      <c r="S202" s="59">
        <f ca="1">AVERAGE(OFFSET($R$3,0,0,'Données projet'!$E$9+1,1))-AVERAGE(OFFSET($H$3,0,0,'Données projet'!$E$9+1,1))</f>
        <v>253.73326067725128</v>
      </c>
      <c r="T202" s="59">
        <f t="shared" si="204"/>
        <v>317.76427047458026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4.8531850308473743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4.8531850308473743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732.99999999999966</v>
      </c>
      <c r="AJ202" s="13">
        <f>AI202*VLOOKUP('Données projet'!$B$10,Paramètres!$A$1:$I$89,3,0)*VLOOKUP('Données projet'!$B$10,Paramètres!$A$1:$I$89,5,0)</f>
        <v>352.57299999999987</v>
      </c>
      <c r="AK202" s="13">
        <f t="shared" si="164"/>
        <v>82.092092597941644</v>
      </c>
      <c r="AL202" s="20">
        <f t="shared" si="165"/>
        <v>757.04170294141477</v>
      </c>
      <c r="AM202" s="59">
        <f t="shared" si="193"/>
        <v>1050.375036274748</v>
      </c>
      <c r="AN202" s="59">
        <f ca="1">AVERAGE(OFFSET($AM$3,0,0,'Données projet'!$E$10+1,1))-AVERAGE(OFFSET($H$3,0,0,'Données projet'!$E$10+1,1))</f>
        <v>349.65790906807746</v>
      </c>
      <c r="AO202" s="59">
        <f t="shared" si="205"/>
        <v>291.88925884278888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11.984468602199895</v>
      </c>
      <c r="AV202" s="21">
        <f>EXP(-LN(2)/25)*AV201+(1-EXP(-LN(2)/25))/(LN(2)/25)*Calculateur!AQ202*Calculateur!AS202*VLOOKUP('Données projet'!$B$10,Paramètres!$A$1:$I$89,3,0)*0.475*44/12</f>
        <v>0.38007560469906898</v>
      </c>
      <c r="AW202" s="21">
        <f>EXP(-LN(2)/2)*AW201+(1-EXP(-LN(2)/2))/(LN(2)/2)*AQ202*AT202*VLOOKUP('Données projet'!$B$10,Paramètres!$A$1:$I$89,3,0)*0.475*44/12</f>
        <v>1.8664538601317084E-27</v>
      </c>
      <c r="AX202" s="21">
        <f t="shared" si="166"/>
        <v>12.364544206898964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319</v>
      </c>
      <c r="BE202" s="13">
        <f>BD202*VLOOKUP('Données projet'!$B$11,Paramètres!$A$1:$I$89,3,0)*VLOOKUP('Données projet'!$B$11,Paramètres!$A$1:$I$89,5,0)</f>
        <v>253.79640000000001</v>
      </c>
      <c r="BF202" s="13">
        <f t="shared" si="167"/>
        <v>61.39816832228076</v>
      </c>
      <c r="BG202" s="20">
        <f t="shared" si="168"/>
        <v>548.96387316130563</v>
      </c>
      <c r="BH202" s="59">
        <f t="shared" si="194"/>
        <v>842.29720649463889</v>
      </c>
      <c r="BI202" s="59">
        <f ca="1">AVERAGE(OFFSET($BH$3,0,0,'Données projet'!$E$11+1,1))-AVERAGE(OFFSET($H$3,0,0,'Données projet'!$E$11+1,1))</f>
        <v>279.49721661620544</v>
      </c>
      <c r="BJ202" s="59">
        <f t="shared" si="206"/>
        <v>275.18739333988754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5.036748663150628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5.036748663150628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266.99999999999983</v>
      </c>
      <c r="BZ202" s="13">
        <f>BY202*VLOOKUP('Données projet'!$B$12,Paramètres!$A$1:$I$89,3,0)*VLOOKUP('Données projet'!$B$12,Paramètres!$A$1:$I$89,5,0)</f>
        <v>258.24239999999986</v>
      </c>
      <c r="CA202" s="13">
        <f t="shared" si="170"/>
        <v>62.347580891234152</v>
      </c>
      <c r="CB202" s="20">
        <f t="shared" si="171"/>
        <v>558.3608833855659</v>
      </c>
      <c r="CC202" s="59">
        <f t="shared" si="195"/>
        <v>851.69421671889927</v>
      </c>
      <c r="CD202" s="59">
        <f ca="1">AVERAGE(OFFSET($CC$3,0,0,'Données projet'!$E$12+1,1))-AVERAGE(OFFSET($H$3,0,0,'Données projet'!$E$12+1,1))</f>
        <v>281.84871057356037</v>
      </c>
      <c r="CE202" s="59">
        <f t="shared" si="207"/>
        <v>276.02211904126887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4.05386706150904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4.05386706150904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319</v>
      </c>
      <c r="CU202" s="17">
        <f>CT202*VLOOKUP('Données projet'!$B$13,Paramètres!$A$1:$I$89,3,0)*VLOOKUP('Données projet'!$B$13,Paramètres!$A$1:$I$89,5,0)</f>
        <v>253.79640000000001</v>
      </c>
      <c r="CV202" s="13">
        <f t="shared" si="173"/>
        <v>61.39816832228076</v>
      </c>
      <c r="CW202" s="20">
        <f t="shared" si="174"/>
        <v>548.96387316130563</v>
      </c>
      <c r="CX202" s="59">
        <f t="shared" si="196"/>
        <v>842.29720649463889</v>
      </c>
      <c r="CY202" s="59">
        <f ca="1">AVERAGE(OFFSET($CX$3,0,0,'Données projet'!$E$13+1,1))-AVERAGE(OFFSET($H$3,0,0,'Données projet'!$E$13+1,1))</f>
        <v>279.49721661620544</v>
      </c>
      <c r="CZ202" s="59">
        <f t="shared" si="208"/>
        <v>275.18739333988754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5.036748663150628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5.036748663150628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267</v>
      </c>
      <c r="DP202" s="17">
        <f>DO202*VLOOKUP('Données projet'!$B$14,Paramètres!$A$1:$I$89,3,0)*VLOOKUP('Données projet'!$B$14,Paramètres!$A$1:$I$89,5,0)</f>
        <v>270.738</v>
      </c>
      <c r="DQ202" s="13">
        <f t="shared" si="176"/>
        <v>65.005866623551711</v>
      </c>
      <c r="DR202" s="20">
        <f t="shared" si="177"/>
        <v>584.7539010360191</v>
      </c>
      <c r="DS202" s="59">
        <f t="shared" si="197"/>
        <v>878.08723436935247</v>
      </c>
      <c r="DT202" s="59">
        <f ca="1">AVERAGE(OFFSET($DS$3,0,0,'Données projet'!$E$14+1,1))-AVERAGE(OFFSET($H$3,0,0,'Données projet'!$E$14+1,1))</f>
        <v>308.80022073574963</v>
      </c>
      <c r="DU202" s="59">
        <f t="shared" si="209"/>
        <v>183.96267407004115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16.049346050022184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16.049346050022184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266.99999999999983</v>
      </c>
      <c r="EK202" s="17">
        <f>EJ202*VLOOKUP('Données projet'!$B$15,Paramètres!$A$1:$I$89,3,0)*VLOOKUP('Données projet'!$B$15,Paramètres!$A$1:$I$89,5,0)</f>
        <v>174.93839999999989</v>
      </c>
      <c r="EL202" s="13">
        <f t="shared" si="179"/>
        <v>44.194210865203175</v>
      </c>
      <c r="EM202" s="20">
        <f t="shared" si="180"/>
        <v>381.65596392356196</v>
      </c>
      <c r="EN202" s="59">
        <f t="shared" si="198"/>
        <v>674.98929725689527</v>
      </c>
      <c r="EO202" s="59">
        <f ca="1">AVERAGE(OFFSET($EN$3,0,0,'Données projet'!$E$15+1,1))-AVERAGE(OFFSET($H$3,0,0,'Données projet'!$E$15+1,1))</f>
        <v>178.71569711875242</v>
      </c>
      <c r="EP202" s="59">
        <f t="shared" si="210"/>
        <v>178.13848582064168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2.7461680094093461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2.7461680094093461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267</v>
      </c>
      <c r="FF202" s="17">
        <f>FE202*VLOOKUP('Données projet'!$B$16,Paramètres!$A$1:$I$89,3,0)*VLOOKUP('Données projet'!$B$16,Paramètres!$A$1:$I$89,5,0)</f>
        <v>224.92080000000001</v>
      </c>
      <c r="FG202" s="13">
        <f t="shared" si="182"/>
        <v>55.1830164775604</v>
      </c>
      <c r="FH202" s="20">
        <f t="shared" si="183"/>
        <v>487.84748036508444</v>
      </c>
      <c r="FI202" s="59">
        <f t="shared" si="199"/>
        <v>781.18081369841775</v>
      </c>
      <c r="FJ202" s="59">
        <f ca="1">AVERAGE(OFFSET($FI$3,0,0,'Données projet'!$E$16+1,1))-AVERAGE(OFFSET($H$3,0,0,'Données projet'!$E$16+1,1))</f>
        <v>247.22536892257716</v>
      </c>
      <c r="FK202" s="59">
        <f t="shared" si="211"/>
        <v>147.97952262756075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13.333302872326151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13.333302872326151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6">
        <f t="shared" si="192"/>
        <v>506.26021499592679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249.0000000000002</v>
      </c>
      <c r="O203" s="13">
        <f>N203*VLOOKUP('Données projet'!$B$9,Paramètres!$A$1:$I$89,3,0)*VLOOKUP('Données projet'!$B$9,Paramètres!$A$1:$I$89,5,0)</f>
        <v>217.52640000000019</v>
      </c>
      <c r="P203" s="13">
        <f t="shared" si="203"/>
        <v>53.576907690651304</v>
      </c>
      <c r="Q203" s="20">
        <f t="shared" si="162"/>
        <v>472.17159422788467</v>
      </c>
      <c r="R203" s="59">
        <f t="shared" si="191"/>
        <v>765.50492756121798</v>
      </c>
      <c r="S203" s="59">
        <f ca="1">AVERAGE(OFFSET($R$3,0,0,'Données projet'!$E$9+1,1))-AVERAGE(OFFSET($H$3,0,0,'Données projet'!$E$9+1,1))</f>
        <v>253.73326067725128</v>
      </c>
      <c r="T203" s="59">
        <f t="shared" si="204"/>
        <v>317.76427047458026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4.7580170325430355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4.7580170325430355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732.99999999999966</v>
      </c>
      <c r="AJ203" s="13">
        <f>AI203*VLOOKUP('Données projet'!$B$10,Paramètres!$A$1:$I$89,3,0)*VLOOKUP('Données projet'!$B$10,Paramètres!$A$1:$I$89,5,0)</f>
        <v>352.57299999999987</v>
      </c>
      <c r="AK203" s="13">
        <f t="shared" si="164"/>
        <v>82.092092597941644</v>
      </c>
      <c r="AL203" s="20">
        <f t="shared" si="165"/>
        <v>757.04170294141477</v>
      </c>
      <c r="AM203" s="59">
        <f t="shared" si="193"/>
        <v>1050.375036274748</v>
      </c>
      <c r="AN203" s="59">
        <f ca="1">AVERAGE(OFFSET($AM$3,0,0,'Données projet'!$E$10+1,1))-AVERAGE(OFFSET($H$3,0,0,'Données projet'!$E$10+1,1))</f>
        <v>349.65790906807746</v>
      </c>
      <c r="AO203" s="59">
        <f t="shared" si="205"/>
        <v>291.88925884278888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11.749460482714818</v>
      </c>
      <c r="AV203" s="21">
        <f>EXP(-LN(2)/25)*AV202+(1-EXP(-LN(2)/25))/(LN(2)/25)*Calculateur!AQ203*Calculateur!AS203*VLOOKUP('Données projet'!$B$10,Paramètres!$A$1:$I$89,3,0)*0.475*44/12</f>
        <v>0.36968241730126555</v>
      </c>
      <c r="AW203" s="21">
        <f>EXP(-LN(2)/2)*AW202+(1-EXP(-LN(2)/2))/(LN(2)/2)*AQ203*AT203*VLOOKUP('Données projet'!$B$10,Paramètres!$A$1:$I$89,3,0)*0.475*44/12</f>
        <v>1.3197821812709389E-27</v>
      </c>
      <c r="AX203" s="21">
        <f t="shared" si="166"/>
        <v>12.119142900016083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319</v>
      </c>
      <c r="BE203" s="13">
        <f>BD203*VLOOKUP('Données projet'!$B$11,Paramètres!$A$1:$I$89,3,0)*VLOOKUP('Données projet'!$B$11,Paramètres!$A$1:$I$89,5,0)</f>
        <v>253.79640000000001</v>
      </c>
      <c r="BF203" s="13">
        <f t="shared" si="167"/>
        <v>61.39816832228076</v>
      </c>
      <c r="BG203" s="20">
        <f t="shared" si="168"/>
        <v>548.96387316130563</v>
      </c>
      <c r="BH203" s="59">
        <f t="shared" si="194"/>
        <v>842.29720649463889</v>
      </c>
      <c r="BI203" s="59">
        <f ca="1">AVERAGE(OFFSET($BH$3,0,0,'Données projet'!$E$11+1,1))-AVERAGE(OFFSET($H$3,0,0,'Données projet'!$E$11+1,1))</f>
        <v>279.49721661620544</v>
      </c>
      <c r="BJ203" s="59">
        <f t="shared" si="206"/>
        <v>275.18739333988754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4.937981093979583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4.937981093979583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266.99999999999983</v>
      </c>
      <c r="BZ203" s="13">
        <f>BY203*VLOOKUP('Données projet'!$B$12,Paramètres!$A$1:$I$89,3,0)*VLOOKUP('Données projet'!$B$12,Paramètres!$A$1:$I$89,5,0)</f>
        <v>258.24239999999986</v>
      </c>
      <c r="CA203" s="13">
        <f t="shared" si="170"/>
        <v>62.347580891234152</v>
      </c>
      <c r="CB203" s="20">
        <f t="shared" si="171"/>
        <v>558.3608833855659</v>
      </c>
      <c r="CC203" s="59">
        <f t="shared" si="195"/>
        <v>851.69421671889927</v>
      </c>
      <c r="CD203" s="59">
        <f ca="1">AVERAGE(OFFSET($CC$3,0,0,'Données projet'!$E$12+1,1))-AVERAGE(OFFSET($H$3,0,0,'Données projet'!$E$12+1,1))</f>
        <v>281.84871057356037</v>
      </c>
      <c r="CE203" s="59">
        <f t="shared" si="207"/>
        <v>276.02211904126887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3.9743732010476047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3.9743732010476047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319</v>
      </c>
      <c r="CU203" s="17">
        <f>CT203*VLOOKUP('Données projet'!$B$13,Paramètres!$A$1:$I$89,3,0)*VLOOKUP('Données projet'!$B$13,Paramètres!$A$1:$I$89,5,0)</f>
        <v>253.79640000000001</v>
      </c>
      <c r="CV203" s="13">
        <f t="shared" si="173"/>
        <v>61.39816832228076</v>
      </c>
      <c r="CW203" s="20">
        <f t="shared" si="174"/>
        <v>548.96387316130563</v>
      </c>
      <c r="CX203" s="59">
        <f t="shared" si="196"/>
        <v>842.29720649463889</v>
      </c>
      <c r="CY203" s="59">
        <f ca="1">AVERAGE(OFFSET($CX$3,0,0,'Données projet'!$E$13+1,1))-AVERAGE(OFFSET($H$3,0,0,'Données projet'!$E$13+1,1))</f>
        <v>279.49721661620544</v>
      </c>
      <c r="CZ203" s="59">
        <f t="shared" si="208"/>
        <v>275.18739333988754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4.937981093979583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4.937981093979583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267</v>
      </c>
      <c r="DP203" s="17">
        <f>DO203*VLOOKUP('Données projet'!$B$14,Paramètres!$A$1:$I$89,3,0)*VLOOKUP('Données projet'!$B$14,Paramètres!$A$1:$I$89,5,0)</f>
        <v>270.738</v>
      </c>
      <c r="DQ203" s="13">
        <f t="shared" si="176"/>
        <v>65.005866623551711</v>
      </c>
      <c r="DR203" s="20">
        <f t="shared" si="177"/>
        <v>584.7539010360191</v>
      </c>
      <c r="DS203" s="59">
        <f t="shared" si="197"/>
        <v>878.08723436935247</v>
      </c>
      <c r="DT203" s="59">
        <f ca="1">AVERAGE(OFFSET($DS$3,0,0,'Données projet'!$E$14+1,1))-AVERAGE(OFFSET($H$3,0,0,'Données projet'!$E$14+1,1))</f>
        <v>308.80022073574963</v>
      </c>
      <c r="DU203" s="59">
        <f t="shared" si="209"/>
        <v>183.96267407004115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15.734628163115742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15.734628163115742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266.99999999999983</v>
      </c>
      <c r="EK203" s="17">
        <f>EJ203*VLOOKUP('Données projet'!$B$15,Paramètres!$A$1:$I$89,3,0)*VLOOKUP('Données projet'!$B$15,Paramètres!$A$1:$I$89,5,0)</f>
        <v>174.93839999999989</v>
      </c>
      <c r="EL203" s="13">
        <f t="shared" si="179"/>
        <v>44.194210865203175</v>
      </c>
      <c r="EM203" s="20">
        <f t="shared" si="180"/>
        <v>381.65596392356196</v>
      </c>
      <c r="EN203" s="59">
        <f t="shared" si="198"/>
        <v>674.98929725689527</v>
      </c>
      <c r="EO203" s="59">
        <f ca="1">AVERAGE(OFFSET($EN$3,0,0,'Données projet'!$E$15+1,1))-AVERAGE(OFFSET($H$3,0,0,'Données projet'!$E$15+1,1))</f>
        <v>178.71569711875242</v>
      </c>
      <c r="EP203" s="59">
        <f t="shared" si="210"/>
        <v>178.13848582064168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2.6923173297419223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2.6923173297419223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267</v>
      </c>
      <c r="FF203" s="17">
        <f>FE203*VLOOKUP('Données projet'!$B$16,Paramètres!$A$1:$I$89,3,0)*VLOOKUP('Données projet'!$B$16,Paramètres!$A$1:$I$89,5,0)</f>
        <v>224.92080000000001</v>
      </c>
      <c r="FG203" s="13">
        <f t="shared" si="182"/>
        <v>55.1830164775604</v>
      </c>
      <c r="FH203" s="20">
        <f t="shared" si="183"/>
        <v>487.84748036508444</v>
      </c>
      <c r="FI203" s="59">
        <f t="shared" si="199"/>
        <v>781.18081369841775</v>
      </c>
      <c r="FJ203" s="59">
        <f ca="1">AVERAGE(OFFSET($FI$3,0,0,'Données projet'!$E$16+1,1))-AVERAGE(OFFSET($H$3,0,0,'Données projet'!$E$16+1,1))</f>
        <v>247.22536892257716</v>
      </c>
      <c r="FK203" s="59">
        <f t="shared" si="211"/>
        <v>147.97952262756075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13.071844935511567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13.071844935511567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1.3467943429205997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1.2487548905696053</v>
      </c>
      <c r="BA205" s="81">
        <f>EXP(LN('Données projet'!B88)/'Données projet'!A88)</f>
        <v>1.2709816152101407</v>
      </c>
      <c r="BV205" s="81">
        <f>EXP(LN('Données projet'!B114)/'Données projet'!A114)</f>
        <v>1.2721747796233518</v>
      </c>
      <c r="CQ205" s="81">
        <f>EXP(LN('Données projet'!B140)/'Données projet'!A140)</f>
        <v>1.2709816152101407</v>
      </c>
      <c r="DL205" s="81">
        <f>EXP(LN('Données projet'!B166)/'Données projet'!A166)</f>
        <v>1.2054868146447177</v>
      </c>
      <c r="EG205" s="81">
        <f>EXP(LN('Données projet'!B192)/'Données projet'!A192)</f>
        <v>1.2721747796233518</v>
      </c>
      <c r="FB205" s="81">
        <f>EXP(LN('Données projet'!B218)/'Données projet'!A218)</f>
        <v>1.2054868146447177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A185" sqref="A185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rouge d'Amérique</v>
      </c>
      <c r="B6" s="144">
        <f>'Données projet'!D9</f>
        <v>4.725853658536586</v>
      </c>
      <c r="C6" s="145">
        <f ca="1">IF(OR('Données projet'!B9="",'Données projet'!C9="",'Données projet'!C9=0%),0,Calculateur!S3)</f>
        <v>253.73326067725128</v>
      </c>
      <c r="D6" s="145">
        <f>IF(OR('Données projet'!B9="",'Données projet'!C9="",'Données projet'!C9=0%),0,Calculateur!T3)</f>
        <v>317.76427047458026</v>
      </c>
      <c r="E6" s="145">
        <f ca="1">MIN(C6,D6)</f>
        <v>253.73326067725128</v>
      </c>
      <c r="F6" s="145">
        <f ca="1">E6*B6</f>
        <v>1199.1062582640052</v>
      </c>
      <c r="G6" s="145">
        <f ca="1">F6*(100%-'Données projet'!$C$24)*(100%-'Données projet'!$C$25)*(100%-'Données projet'!$C$26)*(100%-'Données projet'!$C$27)</f>
        <v>1079.1956324376047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179.58243902439028</v>
      </c>
      <c r="K6" s="149">
        <f>J6*(100%-'Données projet'!$C$24)*(100%-'Données projet'!$C$25)*(100%-'Données projet'!$C$26)*(100%-'Données projet'!$C$27)</f>
        <v>161.62419512195126</v>
      </c>
      <c r="L6" s="150">
        <f ca="1">G6+I6+K6</f>
        <v>1240.819827559556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Sapin de Nordmann</v>
      </c>
      <c r="B7" s="152">
        <f>'Données projet'!D10</f>
        <v>4.725853658536586</v>
      </c>
      <c r="C7" s="145">
        <f ca="1">IF(OR('Données projet'!B10="",'Données projet'!C10="",'Données projet'!C10=0%),0,Calculateur!AN3)</f>
        <v>349.65790906807746</v>
      </c>
      <c r="D7" s="145">
        <f>IF(OR('Données projet'!B10="",'Données projet'!C10="",'Données projet'!C10=0%),0,Calculateur!AO3)</f>
        <v>291.88925884278888</v>
      </c>
      <c r="E7" s="145">
        <f t="shared" ref="E7:E15" ca="1" si="0">MIN(C7,D7)</f>
        <v>291.88925884278888</v>
      </c>
      <c r="F7" s="145">
        <f t="shared" ref="F7:F15" ca="1" si="1">E7*B7</f>
        <v>1379.4259217897263</v>
      </c>
      <c r="G7" s="145">
        <f ca="1">F7*(100%-'Données projet'!$C$24)*(100%-'Données projet'!$C$25)*(100%-'Données projet'!$C$26)*(100%-'Données projet'!$C$27)</f>
        <v>1241.4833296107538</v>
      </c>
      <c r="H7" s="153">
        <f>IF(OR('Données projet'!B10="",'Données projet'!C10="",'Données projet'!C10=0%),0,AVERAGE(Calculateur!$AX$3:$AX$33)*B7)</f>
        <v>23.004370495110201</v>
      </c>
      <c r="I7" s="147">
        <f>H7*(100%-'Données projet'!$C$24)*(100%-'Données projet'!$C$25)*(100%-'Données projet'!$C$26)*(100%-'Données projet'!$C$27)</f>
        <v>20.703933445599183</v>
      </c>
      <c r="J7" s="148">
        <f>IF(OR('Données projet'!B10="",'Données projet'!C10="",'Données projet'!C10=0%),0,SUM(Calculateur!$AQ$3:$AQ$33)*VLOOKUP('Données projet'!$B$10,Paramètres!$A$1:$I$89,9,0)*B7)</f>
        <v>262.1431024390244</v>
      </c>
      <c r="K7" s="149">
        <f>J7*(100%-'Données projet'!$C$24)*(100%-'Données projet'!$C$25)*(100%-'Données projet'!$C$26)*(100%-'Données projet'!$C$27)</f>
        <v>235.92879219512196</v>
      </c>
      <c r="L7" s="150">
        <f t="shared" ref="L7:L15" ca="1" si="2">G7+I7+K7</f>
        <v>1498.116055251475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Erable sycomore</v>
      </c>
      <c r="B8" s="152">
        <f>'Données projet'!D11</f>
        <v>2.0253658536585366</v>
      </c>
      <c r="C8" s="145">
        <f ca="1">IF(OR('Données projet'!B11="",'Données projet'!C11="",'Données projet'!C11=0%),0,Calculateur!BI3)</f>
        <v>279.49721661620544</v>
      </c>
      <c r="D8" s="145">
        <f>IF(OR('Données projet'!B11="",'Données projet'!C11="",'Données projet'!C11=0%),0,Calculateur!BJ3)</f>
        <v>275.18739333988754</v>
      </c>
      <c r="E8" s="145">
        <f t="shared" ca="1" si="0"/>
        <v>275.18739333988754</v>
      </c>
      <c r="F8" s="145">
        <f t="shared" ca="1" si="1"/>
        <v>557.3551498279088</v>
      </c>
      <c r="G8" s="145">
        <f ca="1">F8*(100%-'Données projet'!$C$24)*(100%-'Données projet'!$C$25)*(100%-'Données projet'!$C$26)*(100%-'Données projet'!$C$27)</f>
        <v>501.61963484511796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69.368780487804884</v>
      </c>
      <c r="K8" s="149">
        <f>J8*(100%-'Données projet'!$C$24)*(100%-'Données projet'!$C$25)*(100%-'Données projet'!$C$26)*(100%-'Données projet'!$C$27)</f>
        <v>62.431902439024398</v>
      </c>
      <c r="L8" s="150">
        <f t="shared" ca="1" si="2"/>
        <v>564.05153728414234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Alisier torminal</v>
      </c>
      <c r="B9" s="152">
        <f>'Données projet'!D12</f>
        <v>1.0126829268292683</v>
      </c>
      <c r="C9" s="145">
        <f ca="1">IF(OR('Données projet'!B12="",'Données projet'!C12="",'Données projet'!C12=0%),0,Calculateur!CD3)</f>
        <v>281.84871057356037</v>
      </c>
      <c r="D9" s="145">
        <f>IF(OR('Données projet'!B12="",'Données projet'!C12="",'Données projet'!C12=0%),0,Calculateur!CE3)</f>
        <v>276.02211904126887</v>
      </c>
      <c r="E9" s="145">
        <f t="shared" ca="1" si="0"/>
        <v>276.02211904126887</v>
      </c>
      <c r="F9" s="145">
        <f t="shared" ca="1" si="1"/>
        <v>279.52288738032888</v>
      </c>
      <c r="G9" s="145">
        <f ca="1">F9*(100%-'Données projet'!$C$24)*(100%-'Données projet'!$C$25)*(100%-'Données projet'!$C$26)*(100%-'Données projet'!$C$27)</f>
        <v>251.57059864229601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25.063902439024389</v>
      </c>
      <c r="K9" s="149">
        <f>J9*(100%-'Données projet'!$C$24)*(100%-'Données projet'!$C$25)*(100%-'Données projet'!$C$26)*(100%-'Données projet'!$C$27)</f>
        <v>22.557512195121951</v>
      </c>
      <c r="L9" s="150">
        <f t="shared" ca="1" si="2"/>
        <v>274.12811083741798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Erable plane</v>
      </c>
      <c r="B10" s="152">
        <f>'Données projet'!D13</f>
        <v>0.67512195121951224</v>
      </c>
      <c r="C10" s="145">
        <f ca="1">IF(OR('Données projet'!B13="",'Données projet'!C13="",'Données projet'!C13=0%),0,Calculateur!CY3)</f>
        <v>279.49721661620544</v>
      </c>
      <c r="D10" s="145">
        <f>IF(OR('Données projet'!B13="",'Données projet'!C13="",'Données projet'!C13=0%),0,Calculateur!CZ3)</f>
        <v>275.18739333988754</v>
      </c>
      <c r="E10" s="145">
        <f t="shared" ca="1" si="0"/>
        <v>275.18739333988754</v>
      </c>
      <c r="F10" s="145">
        <f t="shared" ca="1" si="1"/>
        <v>185.78504994263628</v>
      </c>
      <c r="G10" s="145">
        <f ca="1">F10*(100%-'Données projet'!$C$24)*(100%-'Données projet'!$C$25)*(100%-'Données projet'!$C$26)*(100%-'Données projet'!$C$27)</f>
        <v>167.20654494837265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23.122926829268295</v>
      </c>
      <c r="K10" s="149">
        <f>J10*(100%-'Données projet'!$C$24)*(100%-'Données projet'!$C$25)*(100%-'Données projet'!$C$26)*(100%-'Données projet'!$C$27)</f>
        <v>20.810634146341467</v>
      </c>
      <c r="L10" s="150">
        <f t="shared" ca="1" si="2"/>
        <v>188.01717909471412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>Chêne pubescent</v>
      </c>
      <c r="B11" s="152">
        <f>'Données projet'!D14</f>
        <v>0.33756097560975612</v>
      </c>
      <c r="C11" s="145">
        <f ca="1">IF(OR('Données projet'!B14="",'Données projet'!C14="",'Données projet'!C14=0%),0,Calculateur!DT3)</f>
        <v>308.80022073574963</v>
      </c>
      <c r="D11" s="145">
        <f>IF(OR('Données projet'!B14="",'Données projet'!C14="",'Données projet'!C14=0%),0,Calculateur!DU3)</f>
        <v>183.96267407004115</v>
      </c>
      <c r="E11" s="145">
        <f t="shared" ca="1" si="0"/>
        <v>183.96267407004115</v>
      </c>
      <c r="F11" s="145">
        <f t="shared" ca="1" si="1"/>
        <v>62.098619734862673</v>
      </c>
      <c r="G11" s="145">
        <f ca="1">F11*(100%-'Données projet'!$C$24)*(100%-'Données projet'!$C$25)*(100%-'Données projet'!$C$26)*(100%-'Données projet'!$C$27)</f>
        <v>55.888757761376404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2.4473170731707317</v>
      </c>
      <c r="K11" s="149">
        <f>J11*(100%-'Données projet'!$C$24)*(100%-'Données projet'!$C$25)*(100%-'Données projet'!$C$26)*(100%-'Données projet'!$C$27)</f>
        <v>2.2025853658536585</v>
      </c>
      <c r="L11" s="150">
        <f t="shared" ca="1" si="2"/>
        <v>58.091343127230061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>Aulne glutineux</v>
      </c>
      <c r="B12" s="152">
        <f>'Données projet'!D15</f>
        <v>0.20253658536585367</v>
      </c>
      <c r="C12" s="145">
        <f ca="1">IF(OR('Données projet'!B15="",'Données projet'!C15="",'Données projet'!C15=0%),0,Calculateur!EO3)</f>
        <v>178.71569711875242</v>
      </c>
      <c r="D12" s="145">
        <f>IF(OR('Données projet'!B15="",'Données projet'!C15="",'Données projet'!C15=0%),0,Calculateur!EP3)</f>
        <v>178.13848582064168</v>
      </c>
      <c r="E12" s="145">
        <f t="shared" ca="1" si="0"/>
        <v>178.13848582064168</v>
      </c>
      <c r="F12" s="145">
        <f t="shared" ca="1" si="1"/>
        <v>36.079560640356306</v>
      </c>
      <c r="G12" s="145">
        <f ca="1">F12*(100%-'Données projet'!$C$24)*(100%-'Données projet'!$C$25)*(100%-'Données projet'!$C$26)*(100%-'Données projet'!$C$27)</f>
        <v>32.471604576320679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5.0127804878048785</v>
      </c>
      <c r="K12" s="149">
        <f>J12*(100%-'Données projet'!$C$24)*(100%-'Données projet'!$C$25)*(100%-'Données projet'!$C$26)*(100%-'Données projet'!$C$27)</f>
        <v>4.5115024390243912</v>
      </c>
      <c r="L12" s="150">
        <f t="shared" ca="1" si="2"/>
        <v>36.98310701534507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>Chêne pédonculé</v>
      </c>
      <c r="B13" s="152">
        <f>'Données projet'!D16</f>
        <v>0.13502439024390245</v>
      </c>
      <c r="C13" s="145">
        <f ca="1">IF(OR('Données projet'!B16="",'Données projet'!C16="",'Données projet'!C16=0%),0,Calculateur!FJ3)</f>
        <v>247.22536892257716</v>
      </c>
      <c r="D13" s="145">
        <f>IF(OR('Données projet'!B16="",'Données projet'!C16="",'Données projet'!C16=0%),0,Calculateur!FK3)</f>
        <v>147.97952262756075</v>
      </c>
      <c r="E13" s="145">
        <f t="shared" ca="1" si="0"/>
        <v>147.97952262756075</v>
      </c>
      <c r="F13" s="145">
        <f t="shared" ca="1" si="1"/>
        <v>19.980844811370154</v>
      </c>
      <c r="G13" s="145">
        <f ca="1">F13*(100%-'Données projet'!$C$24)*(100%-'Données projet'!$C$25)*(100%-'Données projet'!$C$26)*(100%-'Données projet'!$C$27)</f>
        <v>17.982760330233141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0.97892682926829278</v>
      </c>
      <c r="K13" s="149">
        <f>J13*(100%-'Données projet'!$C$24)*(100%-'Données projet'!$C$25)*(100%-'Données projet'!$C$26)*(100%-'Données projet'!$C$27)</f>
        <v>0.88103414634146349</v>
      </c>
      <c r="L13" s="150">
        <f t="shared" ca="1" si="2"/>
        <v>18.863794476574604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3719.3542923911941</v>
      </c>
      <c r="G16" s="164">
        <f t="shared" ca="1" si="3"/>
        <v>3347.4188631520756</v>
      </c>
      <c r="H16" s="165">
        <f t="shared" si="3"/>
        <v>23.004370495110201</v>
      </c>
      <c r="I16" s="165">
        <f t="shared" si="3"/>
        <v>20.703933445599183</v>
      </c>
      <c r="J16" s="166">
        <f t="shared" si="3"/>
        <v>567.72017560975621</v>
      </c>
      <c r="K16" s="166">
        <f t="shared" si="3"/>
        <v>510.9481580487805</v>
      </c>
      <c r="L16" s="167">
        <f t="shared" ca="1" si="3"/>
        <v>3879.070954646455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rouge d'Amérique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Sapin de Nordmann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Erable sycomore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Alisier torminal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Erable plane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>Chêne pubescent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>Aulne glutineux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>Chêne pédonculé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T34" sqref="T34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rouge d'Amérique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-2499.2962121319197</v>
      </c>
      <c r="U10" s="176">
        <f>'Données projet'!D9</f>
        <v>4.725853658536586</v>
      </c>
      <c r="V10" s="175">
        <f>U10*T10</f>
        <v>-11811.308147870264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Sapin de Nordmann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-2864.249586139355</v>
      </c>
      <c r="U11" s="176">
        <f>'Données projet'!D10</f>
        <v>4.725853658536586</v>
      </c>
      <c r="V11" s="175">
        <f t="shared" ref="V11" si="0">U11*T11</f>
        <v>-13536.024385618573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Erable sycomore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-3027.0931230981105</v>
      </c>
      <c r="U12" s="176">
        <f>'Données projet'!D11</f>
        <v>2.0253658536585366</v>
      </c>
      <c r="V12" s="175">
        <f t="shared" ref="V12:V19" si="1">U12*T12</f>
        <v>-6130.9710473674904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Alisier torminal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-6316.7710488066959</v>
      </c>
      <c r="U13" s="176">
        <f>'Données projet'!D12</f>
        <v>1.0126829268292683</v>
      </c>
      <c r="V13" s="175">
        <f t="shared" si="1"/>
        <v>-6396.8861938159516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rouge d'Amérique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Erable plane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-2847.8631230981109</v>
      </c>
      <c r="U14" s="176">
        <f>'Données projet'!D13</f>
        <v>0.67512195121951224</v>
      </c>
      <c r="V14" s="175">
        <f t="shared" si="1"/>
        <v>-1922.6549084720907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/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Chêne pubescent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-4009.65</v>
      </c>
      <c r="U15" s="176">
        <f>'Données projet'!D14</f>
        <v>0.33756097560975612</v>
      </c>
      <c r="V15" s="175">
        <f t="shared" si="1"/>
        <v>-1353.5013658536586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>
        <v>40</v>
      </c>
      <c r="O16" s="23"/>
      <c r="P16" s="23"/>
      <c r="Q16" s="232"/>
      <c r="R16" s="23"/>
      <c r="S16" s="36" t="str">
        <f>B200</f>
        <v>Aulne glutineux</v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-5261.27</v>
      </c>
      <c r="U16" s="176">
        <f>'Données projet'!D15</f>
        <v>0.20253658536585367</v>
      </c>
      <c r="V16" s="175">
        <f t="shared" si="1"/>
        <v>-1065.5996604878051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3325.33</v>
      </c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40.000000000000021</v>
      </c>
      <c r="O17" s="23"/>
      <c r="P17" s="23"/>
      <c r="Q17" s="232"/>
      <c r="R17" s="23"/>
      <c r="S17" s="36" t="str">
        <f>B231</f>
        <v>Chêne pédonculé</v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-4205.17</v>
      </c>
      <c r="U17" s="176">
        <f>'Données projet'!D16</f>
        <v>0.13502439024390245</v>
      </c>
      <c r="V17" s="175">
        <f t="shared" si="1"/>
        <v>-567.80051512195132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>
        <v>15</v>
      </c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600.00000000000034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>
        <v>8958.76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15</v>
      </c>
      <c r="B23" s="179">
        <f>'Données projet'!D36</f>
        <v>21</v>
      </c>
      <c r="C23" s="191">
        <v>15</v>
      </c>
      <c r="D23" s="180">
        <f>B23*C23</f>
        <v>315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-166773.98462460778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20</v>
      </c>
      <c r="B24" s="179">
        <f>'Données projet'!D37</f>
        <v>43</v>
      </c>
      <c r="C24" s="191">
        <v>15</v>
      </c>
      <c r="D24" s="180">
        <f t="shared" ref="D24:D42" si="2">B24*C24</f>
        <v>645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1427.6959338298541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25</v>
      </c>
      <c r="B25" s="179">
        <f>'Données projet'!D38</f>
        <v>44</v>
      </c>
      <c r="C25" s="191">
        <v>15</v>
      </c>
      <c r="D25" s="180">
        <f t="shared" si="2"/>
        <v>660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-168201.68055843763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30</v>
      </c>
      <c r="B26" s="179">
        <f>'Données projet'!D39</f>
        <v>44</v>
      </c>
      <c r="C26" s="191">
        <v>15</v>
      </c>
      <c r="D26" s="180">
        <f t="shared" si="2"/>
        <v>660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35</v>
      </c>
      <c r="B27" s="179">
        <f>'Données projet'!D40</f>
        <v>42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40</v>
      </c>
      <c r="B28" s="179">
        <f>'Données projet'!D41</f>
        <v>39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45</v>
      </c>
      <c r="B29" s="179">
        <f>'Données projet'!D42</f>
        <v>36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50</v>
      </c>
      <c r="B30" s="179">
        <f>'Données projet'!D43</f>
        <v>33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55</v>
      </c>
      <c r="B31" s="179">
        <f>'Données projet'!D44</f>
        <v>29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60</v>
      </c>
      <c r="B32" s="179">
        <f>'Données projet'!D45</f>
        <v>26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65</v>
      </c>
      <c r="B33" s="179">
        <f>'Données projet'!D46</f>
        <v>23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70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Sapin de Nordmann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3178.68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15</v>
      </c>
      <c r="B54" s="179">
        <f>'Données projet'!D62</f>
        <v>0</v>
      </c>
      <c r="C54" s="189">
        <v>15</v>
      </c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20</v>
      </c>
      <c r="B55" s="179">
        <f>'Données projet'!D63</f>
        <v>3</v>
      </c>
      <c r="C55" s="189">
        <v>15</v>
      </c>
      <c r="D55" s="177">
        <f t="shared" ref="D55:D73" si="4">B55*C55</f>
        <v>45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25</v>
      </c>
      <c r="B56" s="179">
        <f>'Données projet'!D64</f>
        <v>63</v>
      </c>
      <c r="C56" s="189">
        <v>15</v>
      </c>
      <c r="D56" s="177">
        <f t="shared" si="4"/>
        <v>945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30</v>
      </c>
      <c r="B57" s="179">
        <f>'Données projet'!D65</f>
        <v>63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35</v>
      </c>
      <c r="B58" s="179">
        <f>'Données projet'!D66</f>
        <v>63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40</v>
      </c>
      <c r="B59" s="179">
        <f>'Données projet'!D67</f>
        <v>63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45</v>
      </c>
      <c r="B60" s="179">
        <f>'Données projet'!D68</f>
        <v>63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50</v>
      </c>
      <c r="B61" s="179">
        <f>'Données projet'!D69</f>
        <v>63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55</v>
      </c>
      <c r="B62" s="179">
        <f>'Données projet'!D70</f>
        <v>63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60</v>
      </c>
      <c r="B63" s="179">
        <f>'Données projet'!D71</f>
        <v>54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65</v>
      </c>
      <c r="B64" s="179">
        <f>'Données projet'!D72</f>
        <v>50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70</v>
      </c>
      <c r="B65" s="179">
        <f>'Données projet'!D73</f>
        <v>48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75</v>
      </c>
      <c r="B66" s="179">
        <f>'Données projet'!D74</f>
        <v>47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80</v>
      </c>
      <c r="B67" s="179">
        <f>'Données projet'!D75</f>
        <v>46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Erable sycomore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3667.49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10</v>
      </c>
      <c r="B85" s="179">
        <f>'Données projet'!D88</f>
        <v>0</v>
      </c>
      <c r="C85" s="189">
        <v>15</v>
      </c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15</v>
      </c>
      <c r="B86" s="179">
        <f>'Données projet'!D89</f>
        <v>32</v>
      </c>
      <c r="C86" s="189">
        <v>15</v>
      </c>
      <c r="D86" s="177">
        <f t="shared" ref="D86:D104" si="6">B86*C86</f>
        <v>480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20</v>
      </c>
      <c r="B87" s="179">
        <f>'Données projet'!D90</f>
        <v>35</v>
      </c>
      <c r="C87" s="189">
        <v>15</v>
      </c>
      <c r="D87" s="177">
        <f t="shared" si="6"/>
        <v>525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25</v>
      </c>
      <c r="B88" s="179">
        <f>'Données projet'!D91</f>
        <v>35</v>
      </c>
      <c r="C88" s="189">
        <v>15</v>
      </c>
      <c r="D88" s="177">
        <f t="shared" si="6"/>
        <v>525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30</v>
      </c>
      <c r="B89" s="179">
        <f>'Données projet'!D92</f>
        <v>35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35</v>
      </c>
      <c r="B90" s="179">
        <f>'Données projet'!D93</f>
        <v>35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40</v>
      </c>
      <c r="B91" s="179">
        <f>'Données projet'!D94</f>
        <v>35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45</v>
      </c>
      <c r="B92" s="179">
        <f>'Données projet'!D95</f>
        <v>24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50</v>
      </c>
      <c r="B93" s="179">
        <f>'Données projet'!D96</f>
        <v>19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55</v>
      </c>
      <c r="B94" s="179">
        <f>'Données projet'!D97</f>
        <v>16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>
        <f>IF(O93+1&lt;=MIN('Données projet'!$E$9:$E$18),O93+1,"STOP")</f>
        <v>61</v>
      </c>
      <c r="P94" s="183">
        <f t="shared" si="5"/>
        <v>0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60</v>
      </c>
      <c r="B95" s="179">
        <f>'Données projet'!D98</f>
        <v>14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>
        <f>IF(O94+1&lt;=MIN('Données projet'!$E$9:$E$18),O94+1,"STOP")</f>
        <v>62</v>
      </c>
      <c r="P95" s="183">
        <f t="shared" si="5"/>
        <v>0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65</v>
      </c>
      <c r="B96" s="179">
        <f>'Données projet'!D99</f>
        <v>13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>
        <f>IF(O95+1&lt;=MIN('Données projet'!$E$9:$E$18),O95+1,"STOP")</f>
        <v>63</v>
      </c>
      <c r="P96" s="183">
        <f t="shared" si="5"/>
        <v>0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70</v>
      </c>
      <c r="B97" s="179">
        <f>'Données projet'!D100</f>
        <v>13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>
        <f>IF(O96+1&lt;=MIN('Données projet'!$E$9:$E$18),O96+1,"STOP")</f>
        <v>64</v>
      </c>
      <c r="P97" s="183">
        <f t="shared" ref="P97:P128" si="7">$P$25/(1+$M$4)^O97</f>
        <v>0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75</v>
      </c>
      <c r="B98" s="179">
        <f>'Données projet'!D101</f>
        <v>12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>
        <f>IF(O97+1&lt;=MIN('Données projet'!$E$9:$E$18),O97+1,"STOP")</f>
        <v>65</v>
      </c>
      <c r="P98" s="183">
        <f t="shared" si="7"/>
        <v>0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80</v>
      </c>
      <c r="B99" s="179">
        <f>'Données projet'!D102</f>
        <v>11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>
        <f>IF(O98+1&lt;=MIN('Données projet'!$E$9:$E$18),O98+1,"STOP")</f>
        <v>66</v>
      </c>
      <c r="P99" s="183">
        <f t="shared" si="7"/>
        <v>0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>
        <f>IF(O99+1&lt;=MIN('Données projet'!$E$9:$E$18),O99+1,"STOP")</f>
        <v>67</v>
      </c>
      <c r="P100" s="183">
        <f t="shared" si="7"/>
        <v>0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>
        <f>IF(O100+1&lt;=MIN('Données projet'!$E$9:$E$18),O100+1,"STOP")</f>
        <v>68</v>
      </c>
      <c r="P101" s="183">
        <f t="shared" si="7"/>
        <v>0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>
        <f>IF(O101+1&lt;=MIN('Données projet'!$E$9:$E$18),O101+1,"STOP")</f>
        <v>69</v>
      </c>
      <c r="P102" s="183">
        <f t="shared" si="7"/>
        <v>0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>
        <f>IF(O102+1&lt;=MIN('Données projet'!$E$9:$E$18),O102+1,"STOP")</f>
        <v>70</v>
      </c>
      <c r="P103" s="183">
        <f t="shared" si="7"/>
        <v>0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str">
        <f>IF(O103+1&lt;=MIN('Données projet'!$E$9:$E$18),O103+1,"STOP")</f>
        <v>STOP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Alisier torminal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6746.93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15</v>
      </c>
      <c r="B116" s="179">
        <f>'Données projet'!D114</f>
        <v>15</v>
      </c>
      <c r="C116" s="189">
        <v>15</v>
      </c>
      <c r="D116" s="177">
        <f>B116*C116</f>
        <v>225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20</v>
      </c>
      <c r="B117" s="179">
        <f>'Données projet'!D115</f>
        <v>28</v>
      </c>
      <c r="C117" s="189">
        <v>15</v>
      </c>
      <c r="D117" s="177">
        <f t="shared" ref="D117:D135" si="8">B117*C117</f>
        <v>420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25</v>
      </c>
      <c r="B118" s="179">
        <f>'Données projet'!D116</f>
        <v>28</v>
      </c>
      <c r="C118" s="189">
        <v>15</v>
      </c>
      <c r="D118" s="177">
        <f t="shared" si="8"/>
        <v>420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30</v>
      </c>
      <c r="B119" s="179">
        <f>'Données projet'!D117</f>
        <v>28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35</v>
      </c>
      <c r="B120" s="179">
        <f>'Données projet'!D118</f>
        <v>28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40</v>
      </c>
      <c r="B121" s="179">
        <f>'Données projet'!D119</f>
        <v>28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45</v>
      </c>
      <c r="B122" s="179">
        <f>'Données projet'!D120</f>
        <v>22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50</v>
      </c>
      <c r="B123" s="179">
        <f>'Données projet'!D121</f>
        <v>17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55</v>
      </c>
      <c r="B124" s="179">
        <f>'Données projet'!D122</f>
        <v>13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60</v>
      </c>
      <c r="B125" s="179">
        <f>'Données projet'!D123</f>
        <v>12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65</v>
      </c>
      <c r="B126" s="179">
        <f>'Données projet'!D124</f>
        <v>11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70</v>
      </c>
      <c r="B127" s="179">
        <f>'Données projet'!D125</f>
        <v>10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75</v>
      </c>
      <c r="B128" s="179">
        <f>'Données projet'!D126</f>
        <v>9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80</v>
      </c>
      <c r="B129" s="179">
        <f>'Données projet'!D127</f>
        <v>8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Erable plane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3488.26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10</v>
      </c>
      <c r="B147" s="173">
        <f>'Données projet'!D140</f>
        <v>0</v>
      </c>
      <c r="C147" s="189">
        <v>15</v>
      </c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15</v>
      </c>
      <c r="B148" s="173">
        <f>'Données projet'!D141</f>
        <v>32</v>
      </c>
      <c r="C148" s="189">
        <v>15</v>
      </c>
      <c r="D148" s="180">
        <f t="shared" ref="D148:D166" si="10">B148*C148</f>
        <v>480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20</v>
      </c>
      <c r="B149" s="173">
        <f>'Données projet'!D142</f>
        <v>35</v>
      </c>
      <c r="C149" s="189">
        <v>15</v>
      </c>
      <c r="D149" s="180">
        <f t="shared" si="10"/>
        <v>525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25</v>
      </c>
      <c r="B150" s="173">
        <f>'Données projet'!D143</f>
        <v>35</v>
      </c>
      <c r="C150" s="189">
        <v>15</v>
      </c>
      <c r="D150" s="180">
        <f t="shared" si="10"/>
        <v>525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30</v>
      </c>
      <c r="B151" s="173">
        <f>'Données projet'!D144</f>
        <v>35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35</v>
      </c>
      <c r="B152" s="173">
        <f>'Données projet'!D145</f>
        <v>35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40</v>
      </c>
      <c r="B153" s="173">
        <f>'Données projet'!D146</f>
        <v>35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45</v>
      </c>
      <c r="B154" s="173">
        <f>'Données projet'!D147</f>
        <v>24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50</v>
      </c>
      <c r="B155" s="173">
        <f>'Données projet'!D148</f>
        <v>19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55</v>
      </c>
      <c r="B156" s="173">
        <f>'Données projet'!D149</f>
        <v>16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60</v>
      </c>
      <c r="B157" s="173">
        <f>'Données projet'!D150</f>
        <v>14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65</v>
      </c>
      <c r="B158" s="173">
        <f>'Données projet'!D151</f>
        <v>13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70</v>
      </c>
      <c r="B159" s="173">
        <f>'Données projet'!D152</f>
        <v>13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75</v>
      </c>
      <c r="B160" s="173">
        <f>'Données projet'!D153</f>
        <v>12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80</v>
      </c>
      <c r="B161" s="173">
        <f>'Données projet'!D154</f>
        <v>11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Chêne pubescent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4009.65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20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25</v>
      </c>
      <c r="B179" s="179">
        <f>'Données projet'!D167</f>
        <v>8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30</v>
      </c>
      <c r="B180" s="179">
        <f>'Données projet'!D168</f>
        <v>21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35</v>
      </c>
      <c r="B181" s="179">
        <f>'Données projet'!D169</f>
        <v>21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40</v>
      </c>
      <c r="B182" s="179">
        <f>'Données projet'!D170</f>
        <v>21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45</v>
      </c>
      <c r="B183" s="179">
        <f>'Données projet'!D171</f>
        <v>21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50</v>
      </c>
      <c r="B184" s="179">
        <f>'Données projet'!D172</f>
        <v>21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55</v>
      </c>
      <c r="B185" s="179">
        <f>'Données projet'!D173</f>
        <v>21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60</v>
      </c>
      <c r="B186" s="179">
        <f>'Données projet'!D174</f>
        <v>21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65</v>
      </c>
      <c r="B187" s="179">
        <f>'Données projet'!D175</f>
        <v>21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70</v>
      </c>
      <c r="B188" s="179">
        <f>'Données projet'!D176</f>
        <v>21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75</v>
      </c>
      <c r="B189" s="179">
        <f>'Données projet'!D177</f>
        <v>21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80</v>
      </c>
      <c r="B190" s="179">
        <f>'Données projet'!D178</f>
        <v>21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85</v>
      </c>
      <c r="B191" s="179">
        <f>'Données projet'!D179</f>
        <v>21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90</v>
      </c>
      <c r="B192" s="179">
        <f>'Données projet'!D180</f>
        <v>21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95</v>
      </c>
      <c r="B193" s="179">
        <f>'Données projet'!D181</f>
        <v>21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100</v>
      </c>
      <c r="B194" s="179">
        <f>'Données projet'!D182</f>
        <v>21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105</v>
      </c>
      <c r="B195" s="179">
        <f>'Données projet'!D183</f>
        <v>20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110</v>
      </c>
      <c r="B196" s="179">
        <f>'Données projet'!D184</f>
        <v>19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115</v>
      </c>
      <c r="B197" s="179">
        <f>'Données projet'!D185</f>
        <v>18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>Aulne glutineux</v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>
        <v>5261.27</v>
      </c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15</v>
      </c>
      <c r="B209" s="179">
        <f>'Données projet'!D192</f>
        <v>15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20</v>
      </c>
      <c r="B210" s="179">
        <f>'Données projet'!D193</f>
        <v>28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25</v>
      </c>
      <c r="B211" s="179">
        <f>'Données projet'!D194</f>
        <v>28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30</v>
      </c>
      <c r="B212" s="179">
        <f>'Données projet'!D195</f>
        <v>28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35</v>
      </c>
      <c r="B213" s="179">
        <f>'Données projet'!D196</f>
        <v>28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40</v>
      </c>
      <c r="B214" s="179">
        <f>'Données projet'!D197</f>
        <v>28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45</v>
      </c>
      <c r="B215" s="179">
        <f>'Données projet'!D198</f>
        <v>22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50</v>
      </c>
      <c r="B216" s="179">
        <f>'Données projet'!D199</f>
        <v>17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55</v>
      </c>
      <c r="B217" s="179">
        <f>'Données projet'!D200</f>
        <v>13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60</v>
      </c>
      <c r="B218" s="179">
        <f>'Données projet'!D201</f>
        <v>12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65</v>
      </c>
      <c r="B219" s="179">
        <f>'Données projet'!D202</f>
        <v>11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70</v>
      </c>
      <c r="B220" s="179">
        <f>'Données projet'!D203</f>
        <v>10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75</v>
      </c>
      <c r="B221" s="179">
        <f>'Données projet'!D204</f>
        <v>9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80</v>
      </c>
      <c r="B222" s="179">
        <f>'Données projet'!D205</f>
        <v>8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>Chêne pédonculé</v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>
        <v>4205.17</v>
      </c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20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25</v>
      </c>
      <c r="B241" s="179">
        <f>'Données projet'!D219</f>
        <v>8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30</v>
      </c>
      <c r="B242" s="179">
        <f>'Données projet'!D220</f>
        <v>21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35</v>
      </c>
      <c r="B243" s="179">
        <f>'Données projet'!D221</f>
        <v>21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40</v>
      </c>
      <c r="B244" s="179">
        <f>'Données projet'!D222</f>
        <v>21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45</v>
      </c>
      <c r="B245" s="179">
        <f>'Données projet'!D223</f>
        <v>21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50</v>
      </c>
      <c r="B246" s="179">
        <f>'Données projet'!D224</f>
        <v>21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55</v>
      </c>
      <c r="B247" s="179">
        <f>'Données projet'!D225</f>
        <v>21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60</v>
      </c>
      <c r="B248" s="179">
        <f>'Données projet'!D226</f>
        <v>21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65</v>
      </c>
      <c r="B249" s="179">
        <f>'Données projet'!D227</f>
        <v>21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70</v>
      </c>
      <c r="B250" s="179">
        <f>'Données projet'!D228</f>
        <v>21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75</v>
      </c>
      <c r="B251" s="179">
        <f>'Données projet'!D229</f>
        <v>21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80</v>
      </c>
      <c r="B252" s="179">
        <f>'Données projet'!D230</f>
        <v>21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85</v>
      </c>
      <c r="B253" s="179">
        <f>'Données projet'!D231</f>
        <v>21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90</v>
      </c>
      <c r="B254" s="179">
        <f>'Données projet'!D232</f>
        <v>21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95</v>
      </c>
      <c r="B255" s="179">
        <f>'Données projet'!D233</f>
        <v>21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100</v>
      </c>
      <c r="B256" s="179">
        <f>'Données projet'!D234</f>
        <v>21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105</v>
      </c>
      <c r="B257" s="179">
        <f>'Données projet'!D235</f>
        <v>20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110</v>
      </c>
      <c r="B258" s="179">
        <f>'Données projet'!D236</f>
        <v>19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115</v>
      </c>
      <c r="B259" s="179">
        <f>'Données projet'!D237</f>
        <v>18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2024-01-15T15:52:45Z</dcterms:modified>
</cp:coreProperties>
</file>