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Bubendorff\CNPF C+for n° 113 Saint-Ulrich (Bubendorff n° 2)\5 - Montage technique et administratif du dossier\"/>
    </mc:Choice>
  </mc:AlternateContent>
  <bookViews>
    <workbookView xWindow="0" yWindow="0" windowWidth="11745" windowHeight="53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7" i="1" l="1"/>
  <c r="B115" i="1"/>
  <c r="B125" i="1"/>
  <c r="D133" i="1" l="1"/>
  <c r="B133" i="1"/>
  <c r="B132" i="1"/>
  <c r="D131" i="1"/>
  <c r="B131" i="1"/>
  <c r="B130" i="1"/>
  <c r="D129" i="1"/>
  <c r="B129" i="1"/>
  <c r="B128" i="1"/>
  <c r="D127" i="1"/>
  <c r="B127" i="1"/>
  <c r="B126" i="1"/>
  <c r="B124" i="1"/>
  <c r="D123" i="1"/>
  <c r="B123" i="1"/>
  <c r="B122" i="1"/>
  <c r="B121" i="1"/>
  <c r="B120" i="1"/>
  <c r="D119" i="1"/>
  <c r="B119" i="1"/>
  <c r="B118" i="1"/>
  <c r="B117" i="1"/>
  <c r="B116" i="1"/>
  <c r="D115" i="1"/>
  <c r="B114" i="1"/>
  <c r="D44" i="1" l="1"/>
  <c r="B44" i="1"/>
  <c r="B43" i="1"/>
  <c r="B42" i="1"/>
  <c r="D41" i="1"/>
  <c r="B41" i="1"/>
  <c r="B40" i="1"/>
  <c r="D39" i="1"/>
  <c r="B39" i="1"/>
  <c r="B38" i="1"/>
  <c r="B37" i="1"/>
  <c r="D37" i="1"/>
  <c r="B36" i="1" l="1"/>
  <c r="D96" i="1" l="1"/>
  <c r="D90" i="1"/>
  <c r="B90" i="1"/>
  <c r="B89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60" i="2" l="1"/>
  <c r="CD24" i="2"/>
  <c r="CD19" i="2"/>
  <c r="CD141" i="2"/>
  <c r="CD115" i="2"/>
  <c r="CD151" i="2"/>
  <c r="CD156" i="2"/>
  <c r="CD171" i="2"/>
  <c r="CD181" i="2"/>
  <c r="CD31" i="2"/>
  <c r="CD9" i="2"/>
  <c r="CD56" i="2"/>
  <c r="CD173" i="2"/>
  <c r="CD89" i="2"/>
  <c r="CD87" i="2"/>
  <c r="CD134" i="2"/>
  <c r="CD104" i="2"/>
  <c r="CD45" i="2"/>
  <c r="CD160" i="2"/>
  <c r="CD71" i="2"/>
  <c r="CD48" i="2"/>
  <c r="CD99" i="2"/>
  <c r="CD35" i="2"/>
  <c r="CD54" i="2"/>
  <c r="CD174" i="2"/>
  <c r="CD6" i="2"/>
  <c r="CD175" i="2"/>
  <c r="CD11" i="2"/>
  <c r="CD16" i="2"/>
  <c r="CD50" i="2"/>
  <c r="CD113" i="2"/>
  <c r="CD27" i="2"/>
  <c r="CD32" i="2"/>
  <c r="CD85" i="2"/>
  <c r="CD75" i="2"/>
  <c r="CD127" i="2"/>
  <c r="CD15" i="2"/>
  <c r="CD188" i="2"/>
  <c r="CD150" i="2"/>
  <c r="CD41" i="2"/>
  <c r="CD135" i="2"/>
  <c r="CD82" i="2"/>
  <c r="CD183" i="2"/>
  <c r="CD202" i="2"/>
  <c r="CD142" i="2"/>
  <c r="CD63" i="2"/>
  <c r="CD186" i="2"/>
  <c r="CD14" i="2"/>
  <c r="CD34" i="2"/>
  <c r="CD108" i="2"/>
  <c r="CD184" i="2"/>
  <c r="CD148" i="2"/>
  <c r="CD182" i="2"/>
  <c r="CD146" i="2"/>
  <c r="CD20" i="2"/>
  <c r="CD197" i="2"/>
  <c r="CD124" i="2"/>
  <c r="CD95" i="2"/>
  <c r="CD68" i="2"/>
  <c r="CD8" i="2"/>
  <c r="CD159" i="2"/>
  <c r="CD131" i="2"/>
  <c r="CD12" i="2"/>
  <c r="CD94" i="2"/>
  <c r="CD128" i="2"/>
  <c r="CD107" i="2"/>
  <c r="CD198" i="2"/>
  <c r="CD203" i="2"/>
  <c r="CD140" i="2"/>
  <c r="CD3" i="2"/>
  <c r="C9" i="4" s="1"/>
  <c r="E9" i="4" s="1"/>
  <c r="F9" i="4" s="1"/>
  <c r="G9" i="4" s="1"/>
  <c r="L9" i="4" s="1"/>
  <c r="CD193" i="2"/>
  <c r="CD53" i="2"/>
  <c r="CD154" i="2"/>
  <c r="CD101" i="2"/>
  <c r="CD40" i="2"/>
  <c r="CD69" i="2"/>
  <c r="CD147" i="2"/>
  <c r="CD133" i="2"/>
  <c r="CD162" i="2"/>
  <c r="CD170" i="2"/>
  <c r="CD29" i="2"/>
  <c r="CD26" i="2"/>
  <c r="CD7" i="2"/>
  <c r="CD72" i="2"/>
  <c r="CD55" i="2"/>
  <c r="CD51" i="2"/>
  <c r="CD145" i="2"/>
  <c r="CD90" i="2"/>
  <c r="CD83" i="2"/>
  <c r="CD98" i="2"/>
  <c r="CD185" i="2"/>
  <c r="CD116" i="2"/>
  <c r="CD52" i="2"/>
  <c r="CD102" i="2"/>
  <c r="CD28" i="2"/>
  <c r="CD167" i="2"/>
  <c r="CD192" i="2"/>
  <c r="CD47" i="2"/>
  <c r="CD155" i="2"/>
  <c r="CD91" i="2"/>
  <c r="CD25" i="2"/>
  <c r="CD61" i="2"/>
  <c r="CD73" i="2"/>
  <c r="CD119" i="2"/>
  <c r="CD44" i="2"/>
  <c r="CD177" i="2"/>
  <c r="CD36" i="2"/>
  <c r="CD17" i="2"/>
  <c r="CD93" i="2"/>
  <c r="CD117" i="2"/>
  <c r="CD122" i="2"/>
  <c r="CD70" i="2"/>
  <c r="CD92" i="2"/>
  <c r="CD10" i="2"/>
  <c r="CD18" i="2"/>
  <c r="CD97" i="2"/>
  <c r="CD67" i="2"/>
  <c r="CD103" i="2"/>
  <c r="CD144" i="2"/>
  <c r="CD58" i="2"/>
  <c r="CD78" i="2"/>
  <c r="CD106" i="2"/>
  <c r="CD80" i="2"/>
  <c r="CD153" i="2"/>
  <c r="CD114" i="2"/>
  <c r="CD66" i="2"/>
  <c r="CD126" i="2"/>
  <c r="CD100" i="2"/>
  <c r="CD120" i="2"/>
  <c r="CD189" i="2"/>
  <c r="CD161" i="2"/>
  <c r="CD62" i="2"/>
  <c r="CD22" i="2"/>
  <c r="CD65" i="2"/>
  <c r="CD49" i="2"/>
  <c r="CD172" i="2"/>
  <c r="CD187" i="2"/>
  <c r="CD111" i="2"/>
  <c r="CD123" i="2"/>
  <c r="CD23" i="2"/>
  <c r="CD84" i="2"/>
  <c r="CD138" i="2"/>
  <c r="CD163" i="2"/>
  <c r="CD33" i="2"/>
  <c r="CD178" i="2"/>
  <c r="CD158" i="2"/>
  <c r="CD179" i="2"/>
  <c r="CD199" i="2"/>
  <c r="CD143" i="2"/>
  <c r="CD180" i="2"/>
  <c r="CD196" i="2"/>
  <c r="CD86" i="2"/>
  <c r="CD21" i="2"/>
  <c r="CD139" i="2"/>
  <c r="CD64" i="2"/>
  <c r="CD121" i="2"/>
  <c r="CD195" i="2"/>
  <c r="CD46" i="2"/>
  <c r="CD194" i="2"/>
  <c r="CD74" i="2"/>
  <c r="CD81" i="2"/>
  <c r="CD132" i="2"/>
  <c r="CD191" i="2"/>
  <c r="CD149" i="2"/>
  <c r="CD4" i="2"/>
  <c r="CD88" i="2"/>
  <c r="CD201" i="2"/>
  <c r="CD157" i="2"/>
  <c r="CD59" i="2"/>
  <c r="CD38" i="2"/>
  <c r="CD166" i="2"/>
  <c r="CD176" i="2"/>
  <c r="CD164" i="2"/>
  <c r="CD137" i="2"/>
  <c r="CD96" i="2"/>
  <c r="CD30" i="2"/>
  <c r="CD168" i="2"/>
  <c r="CD110" i="2"/>
  <c r="CD152" i="2"/>
  <c r="CD136" i="2"/>
  <c r="CD125" i="2"/>
  <c r="CD13" i="2"/>
  <c r="CD5" i="2"/>
  <c r="CD105" i="2"/>
  <c r="CD57" i="2"/>
  <c r="CD109" i="2"/>
  <c r="CD190" i="2"/>
  <c r="CD37" i="2"/>
  <c r="CD200" i="2"/>
  <c r="CD165" i="2"/>
  <c r="CD112" i="2"/>
  <c r="CD76" i="2"/>
  <c r="CD129" i="2"/>
  <c r="CD43" i="2"/>
  <c r="CD42" i="2"/>
  <c r="CD77" i="2"/>
  <c r="CD130" i="2"/>
  <c r="CD79" i="2"/>
  <c r="CD169" i="2"/>
  <c r="CD118" i="2"/>
  <c r="CD39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<sst xmlns="http://schemas.openxmlformats.org/spreadsheetml/2006/main" count="1173" uniqueCount="324">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</sst>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237.56128239156058</c:v>
                </c:pt>
                <c:pt idx="17">
                  <c:v>267.98955571724866</c:v>
                </c:pt>
                <c:pt idx="18">
                  <c:v>298.33998870460437</c:v>
                </c:pt>
                <c:pt idx="19">
                  <c:v>328.62160871118198</c:v>
                </c:pt>
                <c:pt idx="20">
                  <c:v>358.84164266475454</c:v>
                </c:pt>
                <c:pt idx="21">
                  <c:v>231.16419524801108</c:v>
                </c:pt>
                <c:pt idx="22">
                  <c:v>260.85942671475169</c:v>
                </c:pt>
                <c:pt idx="23">
                  <c:v>290.47829302179071</c:v>
                </c:pt>
                <c:pt idx="24">
                  <c:v>320.02967142825008</c:v>
                </c:pt>
                <c:pt idx="25">
                  <c:v>349.52066488969604</c:v>
                </c:pt>
                <c:pt idx="26">
                  <c:v>377.09553671098348</c:v>
                </c:pt>
                <c:pt idx="27">
                  <c:v>404.6265185255254</c:v>
                </c:pt>
                <c:pt idx="28">
                  <c:v>432.11701325632833</c:v>
                </c:pt>
                <c:pt idx="29">
                  <c:v>459.56995582844689</c:v>
                </c:pt>
                <c:pt idx="30">
                  <c:v>486.9879022125296</c:v>
                </c:pt>
                <c:pt idx="31">
                  <c:v>320.77699701276771</c:v>
                </c:pt>
                <c:pt idx="32">
                  <c:v>346.16378539221347</c:v>
                </c:pt>
                <c:pt idx="33">
                  <c:v>371.50970211515966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445.10602903288731</c:v>
                </c:pt>
                <c:pt idx="37">
                  <c:v>468.09538752671097</c:v>
                </c:pt>
                <c:pt idx="38">
                  <c:v>491.0606960301289</c:v>
                </c:pt>
                <c:pt idx="39">
                  <c:v>514.00323643635204</c:v>
                </c:pt>
                <c:pt idx="40">
                  <c:v>536.92416697177498</c:v>
                </c:pt>
                <c:pt idx="41">
                  <c:v>383.05177541071225</c:v>
                </c:pt>
                <c:pt idx="42">
                  <c:v>403.51120632532314</c:v>
                </c:pt>
                <c:pt idx="43">
                  <c:v>423.94821060760881</c:v>
                </c:pt>
                <c:pt idx="44">
                  <c:v>444.36402075569339</c:v>
                </c:pt>
                <c:pt idx="45">
                  <c:v>464.75974684356009</c:v>
                </c:pt>
                <c:pt idx="46">
                  <c:v>482.54402933920232</c:v>
                </c:pt>
                <c:pt idx="47">
                  <c:v>500.3143920215611</c:v>
                </c:pt>
                <c:pt idx="48">
                  <c:v>518.07139861654389</c:v>
                </c:pt>
                <c:pt idx="49">
                  <c:v>535.81557107772062</c:v>
                </c:pt>
                <c:pt idx="50">
                  <c:v>553.54739399083348</c:v>
                </c:pt>
                <c:pt idx="51">
                  <c:v>569.42203544921188</c:v>
                </c:pt>
                <c:pt idx="52">
                  <c:v>585.28743207754314</c:v>
                </c:pt>
                <c:pt idx="53">
                  <c:v>601.14386962670017</c:v>
                </c:pt>
                <c:pt idx="54">
                  <c:v>616.99161755298462</c:v>
                </c:pt>
                <c:pt idx="55">
                  <c:v>632.83093035058664</c:v>
                </c:pt>
                <c:pt idx="56">
                  <c:v>3.9806453659427267E-12</c:v>
                </c:pt>
                <c:pt idx="57">
                  <c:v>3.9806453659427267E-12</c:v>
                </c:pt>
                <c:pt idx="58">
                  <c:v>3.9806453659427267E-12</c:v>
                </c:pt>
                <c:pt idx="59">
                  <c:v>3.9806453659427267E-12</c:v>
                </c:pt>
                <c:pt idx="60">
                  <c:v>3.9806453659427267E-12</c:v>
                </c:pt>
                <c:pt idx="61">
                  <c:v>3.9806453659427267E-12</c:v>
                </c:pt>
                <c:pt idx="62">
                  <c:v>3.9806453659427267E-12</c:v>
                </c:pt>
                <c:pt idx="63">
                  <c:v>3.9806453659427267E-12</c:v>
                </c:pt>
                <c:pt idx="64">
                  <c:v>3.9806453659427267E-12</c:v>
                </c:pt>
                <c:pt idx="65">
                  <c:v>3.9806453659427267E-12</c:v>
                </c:pt>
                <c:pt idx="66">
                  <c:v>3.9806453659427267E-12</c:v>
                </c:pt>
                <c:pt idx="67">
                  <c:v>3.9806453659427267E-12</c:v>
                </c:pt>
                <c:pt idx="68">
                  <c:v>3.9806453659427267E-12</c:v>
                </c:pt>
                <c:pt idx="69">
                  <c:v>3.9806453659427267E-12</c:v>
                </c:pt>
                <c:pt idx="70">
                  <c:v>3.9806453659427267E-12</c:v>
                </c:pt>
                <c:pt idx="71">
                  <c:v>3.9806453659427267E-12</c:v>
                </c:pt>
                <c:pt idx="72">
                  <c:v>3.9806453659427267E-12</c:v>
                </c:pt>
                <c:pt idx="73">
                  <c:v>3.9806453659427267E-12</c:v>
                </c:pt>
                <c:pt idx="74">
                  <c:v>3.9806453659427267E-12</c:v>
                </c:pt>
                <c:pt idx="75">
                  <c:v>3.9806453659427267E-12</c:v>
                </c:pt>
                <c:pt idx="76">
                  <c:v>3.9806453659427267E-12</c:v>
                </c:pt>
                <c:pt idx="77">
                  <c:v>3.9806453659427267E-12</c:v>
                </c:pt>
                <c:pt idx="78">
                  <c:v>3.9806453659427267E-12</c:v>
                </c:pt>
                <c:pt idx="79">
                  <c:v>3.9806453659427267E-12</c:v>
                </c:pt>
                <c:pt idx="80">
                  <c:v>3.9806453659427267E-12</c:v>
                </c:pt>
                <c:pt idx="81">
                  <c:v>3.9806453659427267E-12</c:v>
                </c:pt>
                <c:pt idx="82">
                  <c:v>3.9806453659427267E-12</c:v>
                </c:pt>
                <c:pt idx="83">
                  <c:v>3.9806453659427267E-12</c:v>
                </c:pt>
                <c:pt idx="84">
                  <c:v>3.9806453659427267E-12</c:v>
                </c:pt>
                <c:pt idx="85">
                  <c:v>3.9806453659427267E-12</c:v>
                </c:pt>
                <c:pt idx="86">
                  <c:v>3.9806453659427267E-12</c:v>
                </c:pt>
                <c:pt idx="87">
                  <c:v>3.9806453659427267E-12</c:v>
                </c:pt>
                <c:pt idx="88">
                  <c:v>3.9806453659427267E-12</c:v>
                </c:pt>
                <c:pt idx="89">
                  <c:v>3.9806453659427267E-12</c:v>
                </c:pt>
                <c:pt idx="90">
                  <c:v>3.9806453659427267E-12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6128"/>
        <c:axId val="971755040"/>
      </c:scatterChart>
      <c:valAx>
        <c:axId val="971756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5040"/>
        <c:crosses val="autoZero"/>
        <c:crossBetween val="midCat"/>
      </c:valAx>
      <c:valAx>
        <c:axId val="97175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6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44704"/>
        <c:axId val="971751232"/>
      </c:scatterChart>
      <c:valAx>
        <c:axId val="971744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1232"/>
        <c:crosses val="autoZero"/>
        <c:crossBetween val="midCat"/>
      </c:valAx>
      <c:valAx>
        <c:axId val="97175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4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631.66036748923955</c:v>
                </c:pt>
                <c:pt idx="82">
                  <c:v>638.90661802503621</c:v>
                </c:pt>
                <c:pt idx="83">
                  <c:v>646.15117115988835</c:v>
                </c:pt>
                <c:pt idx="84">
                  <c:v>653.39404860903915</c:v>
                </c:pt>
                <c:pt idx="85">
                  <c:v>660.63527156703708</c:v>
                </c:pt>
                <c:pt idx="86">
                  <c:v>667.87486072591469</c:v>
                </c:pt>
                <c:pt idx="87">
                  <c:v>675.11283629253967</c:v>
                </c:pt>
                <c:pt idx="88">
                  <c:v>682.34921800518089</c:v>
                </c:pt>
                <c:pt idx="89">
                  <c:v>689.58402514933766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608.0026257927675</c:v>
                </c:pt>
                <c:pt idx="102">
                  <c:v>618.3074928990726</c:v>
                </c:pt>
                <c:pt idx="103">
                  <c:v>628.60880146856755</c:v>
                </c:pt>
                <c:pt idx="104">
                  <c:v>638.90661802503575</c:v>
                </c:pt>
                <c:pt idx="105">
                  <c:v>649.20100677344124</c:v>
                </c:pt>
                <c:pt idx="106">
                  <c:v>659.49202971702437</c:v>
                </c:pt>
                <c:pt idx="107">
                  <c:v>669.77974676670851</c:v>
                </c:pt>
                <c:pt idx="108">
                  <c:v>680.06421584344037</c:v>
                </c:pt>
                <c:pt idx="109">
                  <c:v>690.34549297401929</c:v>
                </c:pt>
                <c:pt idx="110">
                  <c:v>700.62363238092303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603.8033106091608</c:v>
                </c:pt>
                <c:pt idx="122">
                  <c:v>611.81966247181992</c:v>
                </c:pt>
                <c:pt idx="123">
                  <c:v>619.83383559808942</c:v>
                </c:pt>
                <c:pt idx="124">
                  <c:v>627.84586213083344</c:v>
                </c:pt>
                <c:pt idx="125">
                  <c:v>635.85577332565276</c:v>
                </c:pt>
                <c:pt idx="126">
                  <c:v>643.86359958648518</c:v>
                </c:pt>
                <c:pt idx="127">
                  <c:v>651.86937049934511</c:v>
                </c:pt>
                <c:pt idx="128">
                  <c:v>659.87311486431611</c:v>
                </c:pt>
                <c:pt idx="129">
                  <c:v>667.87486072591389</c:v>
                </c:pt>
                <c:pt idx="130">
                  <c:v>675.87463540191834</c:v>
                </c:pt>
                <c:pt idx="131">
                  <c:v>599.60338857466627</c:v>
                </c:pt>
                <c:pt idx="132">
                  <c:v>607.23915886223779</c:v>
                </c:pt>
                <c:pt idx="133">
                  <c:v>614.87293594423409</c:v>
                </c:pt>
                <c:pt idx="134">
                  <c:v>622.50474805800286</c:v>
                </c:pt>
                <c:pt idx="135">
                  <c:v>630.13462269202034</c:v>
                </c:pt>
                <c:pt idx="136">
                  <c:v>637.76258661477277</c:v>
                </c:pt>
                <c:pt idx="137">
                  <c:v>645.38866590218811</c:v>
                </c:pt>
                <c:pt idx="138">
                  <c:v>653.0128859637</c:v>
                </c:pt>
                <c:pt idx="139">
                  <c:v>660.63527156703606</c:v>
                </c:pt>
                <c:pt idx="140">
                  <c:v>668.25584686179889</c:v>
                </c:pt>
                <c:pt idx="141">
                  <c:v>592.92043173039758</c:v>
                </c:pt>
                <c:pt idx="142">
                  <c:v>599.60338857466627</c:v>
                </c:pt>
                <c:pt idx="143">
                  <c:v>606.28479716716993</c:v>
                </c:pt>
                <c:pt idx="144">
                  <c:v>612.96467697950118</c:v>
                </c:pt>
                <c:pt idx="145">
                  <c:v>619.64304702417701</c:v>
                </c:pt>
                <c:pt idx="146">
                  <c:v>626.31992587040372</c:v>
                </c:pt>
                <c:pt idx="147">
                  <c:v>632.99533165913078</c:v>
                </c:pt>
                <c:pt idx="148">
                  <c:v>639.66928211743823</c:v>
                </c:pt>
                <c:pt idx="149">
                  <c:v>646.34179457229163</c:v>
                </c:pt>
                <c:pt idx="150">
                  <c:v>653.0128859637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8304"/>
        <c:axId val="971750144"/>
      </c:scatterChart>
      <c:valAx>
        <c:axId val="97175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0144"/>
        <c:crosses val="autoZero"/>
        <c:crossBetween val="midCat"/>
      </c:valAx>
      <c:valAx>
        <c:axId val="97175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43072"/>
        <c:axId val="971753952"/>
      </c:scatterChart>
      <c:valAx>
        <c:axId val="971743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3952"/>
        <c:crosses val="autoZero"/>
        <c:crossBetween val="midCat"/>
      </c:valAx>
      <c:valAx>
        <c:axId val="97175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3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2.5051793880464022</c:v>
                </c:pt>
                <c:pt idx="2">
                  <c:v>3.624379518797646</c:v>
                </c:pt>
                <c:pt idx="3">
                  <c:v>5.245804396463571</c:v>
                </c:pt>
                <c:pt idx="4">
                  <c:v>7.5957538995022098</c:v>
                </c:pt>
                <c:pt idx="5">
                  <c:v>11.002889067654728</c:v>
                </c:pt>
                <c:pt idx="6">
                  <c:v>15.94469618571255</c:v>
                </c:pt>
                <c:pt idx="7">
                  <c:v>23.115110018714589</c:v>
                </c:pt>
                <c:pt idx="8">
                  <c:v>33.522960010987198</c:v>
                </c:pt>
                <c:pt idx="9">
                  <c:v>48.635328574767534</c:v>
                </c:pt>
                <c:pt idx="10">
                  <c:v>70.586367176528725</c:v>
                </c:pt>
                <c:pt idx="11">
                  <c:v>86.750565269587057</c:v>
                </c:pt>
                <c:pt idx="12">
                  <c:v>102.83879803340767</c:v>
                </c:pt>
                <c:pt idx="13">
                  <c:v>118.86466834612668</c:v>
                </c:pt>
                <c:pt idx="14">
                  <c:v>134.83778772804266</c:v>
                </c:pt>
                <c:pt idx="15">
                  <c:v>150.76529438308779</c:v>
                </c:pt>
                <c:pt idx="16">
                  <c:v>127.32709772566022</c:v>
                </c:pt>
                <c:pt idx="17">
                  <c:v>144.21205048455991</c:v>
                </c:pt>
                <c:pt idx="18">
                  <c:v>161.04966060230029</c:v>
                </c:pt>
                <c:pt idx="19">
                  <c:v>177.84557863573093</c:v>
                </c:pt>
                <c:pt idx="20">
                  <c:v>194.60429841233386</c:v>
                </c:pt>
                <c:pt idx="21">
                  <c:v>210.58680257626534</c:v>
                </c:pt>
                <c:pt idx="22">
                  <c:v>226.54133526606725</c:v>
                </c:pt>
                <c:pt idx="23">
                  <c:v>242.47014406922003</c:v>
                </c:pt>
                <c:pt idx="24">
                  <c:v>258.37515696454608</c:v>
                </c:pt>
                <c:pt idx="25">
                  <c:v>274.25804507082165</c:v>
                </c:pt>
                <c:pt idx="26">
                  <c:v>226.17059982008129</c:v>
                </c:pt>
                <c:pt idx="27">
                  <c:v>240.98942582679555</c:v>
                </c:pt>
                <c:pt idx="28">
                  <c:v>255.78751789170556</c:v>
                </c:pt>
                <c:pt idx="29">
                  <c:v>270.56624463958929</c:v>
                </c:pt>
                <c:pt idx="30">
                  <c:v>285.326812913494</c:v>
                </c:pt>
                <c:pt idx="31">
                  <c:v>298.96510410049149</c:v>
                </c:pt>
                <c:pt idx="32">
                  <c:v>312.58953755592438</c:v>
                </c:pt>
                <c:pt idx="33">
                  <c:v>326.20080244945706</c:v>
                </c:pt>
                <c:pt idx="34">
                  <c:v>339.79952573014128</c:v>
                </c:pt>
                <c:pt idx="35">
                  <c:v>353.3862800618312</c:v>
                </c:pt>
                <c:pt idx="36">
                  <c:v>301.72791008451242</c:v>
                </c:pt>
                <c:pt idx="37">
                  <c:v>314.42965273943685</c:v>
                </c:pt>
                <c:pt idx="38">
                  <c:v>327.1200234808083</c:v>
                </c:pt>
                <c:pt idx="39">
                  <c:v>339.79952573014117</c:v>
                </c:pt>
                <c:pt idx="40">
                  <c:v>352.46862226287612</c:v>
                </c:pt>
                <c:pt idx="41">
                  <c:v>364.21073916029871</c:v>
                </c:pt>
                <c:pt idx="42">
                  <c:v>375.94458711662327</c:v>
                </c:pt>
                <c:pt idx="43">
                  <c:v>387.67046064955321</c:v>
                </c:pt>
                <c:pt idx="44">
                  <c:v>399.3886350025723</c:v>
                </c:pt>
                <c:pt idx="45">
                  <c:v>411.09936794685387</c:v>
                </c:pt>
                <c:pt idx="46">
                  <c:v>377.77727330508327</c:v>
                </c:pt>
                <c:pt idx="47">
                  <c:v>384.73972450449719</c:v>
                </c:pt>
                <c:pt idx="48">
                  <c:v>391.69943812459701</c:v>
                </c:pt>
                <c:pt idx="49">
                  <c:v>398.65646970722696</c:v>
                </c:pt>
                <c:pt idx="50">
                  <c:v>405.61087269600699</c:v>
                </c:pt>
                <c:pt idx="51">
                  <c:v>415.85478353292336</c:v>
                </c:pt>
                <c:pt idx="52">
                  <c:v>426.09325445324481</c:v>
                </c:pt>
                <c:pt idx="53">
                  <c:v>436.32643463475307</c:v>
                </c:pt>
                <c:pt idx="54">
                  <c:v>446.55446568525832</c:v>
                </c:pt>
                <c:pt idx="55">
                  <c:v>456.77748219504173</c:v>
                </c:pt>
                <c:pt idx="56">
                  <c:v>409.45298655272927</c:v>
                </c:pt>
                <c:pt idx="57">
                  <c:v>418.78060936059552</c:v>
                </c:pt>
                <c:pt idx="58">
                  <c:v>428.10375641326351</c:v>
                </c:pt>
                <c:pt idx="59">
                  <c:v>437.42253896321091</c:v>
                </c:pt>
                <c:pt idx="60">
                  <c:v>446.73706313430358</c:v>
                </c:pt>
                <c:pt idx="61">
                  <c:v>455.68239493388273</c:v>
                </c:pt>
                <c:pt idx="62">
                  <c:v>464.62397534491424</c:v>
                </c:pt>
                <c:pt idx="63">
                  <c:v>473.56188676537266</c:v>
                </c:pt>
                <c:pt idx="64">
                  <c:v>482.49620822825017</c:v>
                </c:pt>
                <c:pt idx="65">
                  <c:v>491.4270156000884</c:v>
                </c:pt>
                <c:pt idx="66">
                  <c:v>489.42244256680277</c:v>
                </c:pt>
                <c:pt idx="67">
                  <c:v>487.41769531100289</c:v>
                </c:pt>
                <c:pt idx="68">
                  <c:v>485.4127730136845</c:v>
                </c:pt>
                <c:pt idx="69">
                  <c:v>483.40767484851307</c:v>
                </c:pt>
                <c:pt idx="70">
                  <c:v>481.40239998172791</c:v>
                </c:pt>
                <c:pt idx="71">
                  <c:v>489.24020002780725</c:v>
                </c:pt>
                <c:pt idx="72">
                  <c:v>497.07533651620571</c:v>
                </c:pt>
                <c:pt idx="73">
                  <c:v>504.90785736733795</c:v>
                </c:pt>
                <c:pt idx="74">
                  <c:v>512.73780889308171</c:v>
                </c:pt>
                <c:pt idx="75">
                  <c:v>520.56523587504466</c:v>
                </c:pt>
                <c:pt idx="76">
                  <c:v>479.94390679421417</c:v>
                </c:pt>
                <c:pt idx="77">
                  <c:v>487.59995228229172</c:v>
                </c:pt>
                <c:pt idx="78">
                  <c:v>495.25344689448002</c:v>
                </c:pt>
                <c:pt idx="79">
                  <c:v>502.90443562608442</c:v>
                </c:pt>
                <c:pt idx="80">
                  <c:v>510.55296199115043</c:v>
                </c:pt>
                <c:pt idx="81">
                  <c:v>517.47097066164213</c:v>
                </c:pt>
                <c:pt idx="82">
                  <c:v>524.38702836863592</c:v>
                </c:pt>
                <c:pt idx="83">
                  <c:v>531.30116448222964</c:v>
                </c:pt>
                <c:pt idx="84">
                  <c:v>538.21340754546691</c:v>
                </c:pt>
                <c:pt idx="85">
                  <c:v>545.12378530818035</c:v>
                </c:pt>
                <c:pt idx="86">
                  <c:v>508.18582153810485</c:v>
                </c:pt>
                <c:pt idx="87">
                  <c:v>514.92245919242237</c:v>
                </c:pt>
                <c:pt idx="88">
                  <c:v>521.65723675514766</c:v>
                </c:pt>
                <c:pt idx="89">
                  <c:v>528.39018163787762</c:v>
                </c:pt>
                <c:pt idx="90">
                  <c:v>535.1213204963725</c:v>
                </c:pt>
                <c:pt idx="91">
                  <c:v>541.48697522708778</c:v>
                </c:pt>
                <c:pt idx="92">
                  <c:v>547.85105848470664</c:v>
                </c:pt>
                <c:pt idx="93">
                  <c:v>554.2135911059662</c:v>
                </c:pt>
                <c:pt idx="94">
                  <c:v>560.57459340998309</c:v>
                </c:pt>
                <c:pt idx="95">
                  <c:v>566.93408521696699</c:v>
                </c:pt>
                <c:pt idx="96">
                  <c:v>532.21077769816611</c:v>
                </c:pt>
                <c:pt idx="97">
                  <c:v>538.395283369494</c:v>
                </c:pt>
                <c:pt idx="98">
                  <c:v>544.57829635338339</c:v>
                </c:pt>
                <c:pt idx="99">
                  <c:v>550.7598359949335</c:v>
                </c:pt>
                <c:pt idx="100">
                  <c:v>556.93992116940638</c:v>
                </c:pt>
                <c:pt idx="101">
                  <c:v>562.57345267644382</c:v>
                </c:pt>
                <c:pt idx="102">
                  <c:v>568.20580402883661</c:v>
                </c:pt>
                <c:pt idx="103">
                  <c:v>573.83698857973275</c:v>
                </c:pt>
                <c:pt idx="104">
                  <c:v>579.46701939872798</c:v>
                </c:pt>
                <c:pt idx="105">
                  <c:v>585.09590928064313</c:v>
                </c:pt>
                <c:pt idx="106">
                  <c:v>590.72367075394811</c:v>
                </c:pt>
                <c:pt idx="107">
                  <c:v>596.3503160888456</c:v>
                </c:pt>
                <c:pt idx="108">
                  <c:v>601.97585730503681</c:v>
                </c:pt>
                <c:pt idx="109">
                  <c:v>607.6003061791788</c:v>
                </c:pt>
                <c:pt idx="110">
                  <c:v>613.22367425205323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49056"/>
        <c:axId val="971751776"/>
      </c:scatterChart>
      <c:valAx>
        <c:axId val="971749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1776"/>
        <c:crosses val="autoZero"/>
        <c:crossBetween val="midCat"/>
      </c:valAx>
      <c:valAx>
        <c:axId val="97175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7216"/>
        <c:axId val="971749600"/>
      </c:scatterChart>
      <c:valAx>
        <c:axId val="971757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9600"/>
        <c:crosses val="autoZero"/>
        <c:crossBetween val="midCat"/>
      </c:valAx>
      <c:valAx>
        <c:axId val="97174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7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6672"/>
        <c:axId val="971745792"/>
      </c:scatterChart>
      <c:valAx>
        <c:axId val="971756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5792"/>
        <c:crosses val="autoZero"/>
        <c:crossBetween val="midCat"/>
      </c:valAx>
      <c:valAx>
        <c:axId val="97174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6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47424"/>
        <c:axId val="971757760"/>
      </c:scatterChart>
      <c:valAx>
        <c:axId val="971747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7760"/>
        <c:crosses val="autoZero"/>
        <c:crossBetween val="midCat"/>
      </c:valAx>
      <c:valAx>
        <c:axId val="97175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7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43616"/>
        <c:axId val="971747968"/>
      </c:scatterChart>
      <c:valAx>
        <c:axId val="971743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7968"/>
        <c:crosses val="autoZero"/>
        <c:crossBetween val="midCat"/>
      </c:valAx>
      <c:valAx>
        <c:axId val="97174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3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44160"/>
        <c:axId val="971752864"/>
      </c:scatterChart>
      <c:valAx>
        <c:axId val="971744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52864"/>
        <c:crosses val="autoZero"/>
        <c:crossBetween val="midCat"/>
      </c:valAx>
      <c:valAx>
        <c:axId val="9717528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1744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97" zoomScale="85" zoomScaleNormal="85" workbookViewId="0">
      <selection activeCell="D117" sqref="D1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1.4728000000000001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0.4</v>
      </c>
      <c r="D9" s="36">
        <f t="shared" ref="D9:D18" si="0">C9*$C$5</f>
        <v>0.58912000000000009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0.3</v>
      </c>
      <c r="D10" s="36">
        <f t="shared" si="0"/>
        <v>0.44184000000000001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29</v>
      </c>
      <c r="C11" s="35">
        <v>0.1</v>
      </c>
      <c r="D11" s="36">
        <f t="shared" si="0"/>
        <v>0.14728000000000002</v>
      </c>
      <c r="E11" s="37">
        <v>69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50</v>
      </c>
      <c r="C12" s="35">
        <v>0.1</v>
      </c>
      <c r="D12" s="36">
        <f t="shared" si="0"/>
        <v>0.14728000000000002</v>
      </c>
      <c r="E12" s="37">
        <v>110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0.89999999999999991</v>
      </c>
      <c r="D19" s="41">
        <f>SUM(D9:D18)</f>
        <v>1.3255200000000003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f>107</f>
        <v>107</v>
      </c>
      <c r="C36" s="63"/>
      <c r="D36" s="63"/>
      <c r="E36" s="54"/>
      <c r="F36" s="54"/>
      <c r="G36" s="54"/>
      <c r="H36" s="54"/>
      <c r="I36" s="52">
        <f>IFERROR(B36/A36,"")</f>
        <v>7.1333333333333337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f>154+34</f>
        <v>188</v>
      </c>
      <c r="C37" s="63">
        <v>1</v>
      </c>
      <c r="D37" s="63">
        <f>50+34</f>
        <v>84</v>
      </c>
      <c r="E37" s="54"/>
      <c r="F37" s="54"/>
      <c r="G37" s="54"/>
      <c r="H37" s="54">
        <v>1</v>
      </c>
      <c r="I37" s="56">
        <f t="shared" ref="I37:I55" si="1">IF(A37&lt;&gt;0,(B37-(B36-D36))/(A37-A36),"")</f>
        <v>16.2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f>183</f>
        <v>183</v>
      </c>
      <c r="C38" s="63"/>
      <c r="D38" s="63"/>
      <c r="E38" s="54"/>
      <c r="F38" s="54"/>
      <c r="G38" s="54"/>
      <c r="H38" s="54"/>
      <c r="I38" s="56">
        <f t="shared" si="1"/>
        <v>15.8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f>205+52</f>
        <v>257</v>
      </c>
      <c r="C39" s="63">
        <v>2</v>
      </c>
      <c r="D39" s="63">
        <f>52+51</f>
        <v>103</v>
      </c>
      <c r="E39" s="54"/>
      <c r="F39" s="54"/>
      <c r="G39" s="54"/>
      <c r="H39" s="54"/>
      <c r="I39" s="52">
        <f t="shared" si="1"/>
        <v>14.8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f>222</f>
        <v>222</v>
      </c>
      <c r="C40" s="63"/>
      <c r="D40" s="63"/>
      <c r="E40" s="54"/>
      <c r="F40" s="54"/>
      <c r="G40" s="54"/>
      <c r="H40" s="54"/>
      <c r="I40" s="52">
        <f t="shared" si="1"/>
        <v>13.6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f>235+49</f>
        <v>284</v>
      </c>
      <c r="C41" s="63">
        <v>3</v>
      </c>
      <c r="D41" s="63">
        <f>49+45</f>
        <v>94</v>
      </c>
      <c r="E41" s="54"/>
      <c r="F41" s="54"/>
      <c r="G41" s="54"/>
      <c r="H41" s="54"/>
      <c r="I41" s="56">
        <f t="shared" si="1"/>
        <v>12.4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f>245</f>
        <v>245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f>252+41</f>
        <v>293</v>
      </c>
      <c r="C43" s="63"/>
      <c r="D43" s="63"/>
      <c r="E43" s="54"/>
      <c r="F43" s="54"/>
      <c r="G43" s="54"/>
      <c r="H43" s="54"/>
      <c r="I43" s="52">
        <f t="shared" si="1"/>
        <v>9.6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f>258+37+41</f>
        <v>336</v>
      </c>
      <c r="C44" s="63">
        <v>4</v>
      </c>
      <c r="D44" s="63">
        <f>336</f>
        <v>336</v>
      </c>
      <c r="E44" s="54"/>
      <c r="F44" s="54"/>
      <c r="G44" s="54"/>
      <c r="H44" s="54"/>
      <c r="I44" s="52">
        <f t="shared" si="1"/>
        <v>8.6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/>
      <c r="D62" s="63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109</v>
      </c>
      <c r="C63" s="63">
        <v>1</v>
      </c>
      <c r="D63" s="63">
        <f>6+28</f>
        <v>34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93+28</f>
        <v>121</v>
      </c>
      <c r="C64" s="63"/>
      <c r="D64" s="63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119+28+28</f>
        <v>175</v>
      </c>
      <c r="C65" s="63">
        <v>2</v>
      </c>
      <c r="D65" s="63">
        <f>28+28</f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147+28</f>
        <v>175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176+28+28</f>
        <v>232</v>
      </c>
      <c r="C67" s="63">
        <v>3</v>
      </c>
      <c r="D67" s="63">
        <f>28+28</f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f>203+28</f>
        <v>231</v>
      </c>
      <c r="C68" s="53"/>
      <c r="D68" s="63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f>226+28+28</f>
        <v>282</v>
      </c>
      <c r="C69" s="53">
        <v>4</v>
      </c>
      <c r="D69" s="63">
        <f>28+28</f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3">
        <f>245+28</f>
        <v>273</v>
      </c>
      <c r="C70" s="53"/>
      <c r="D70" s="63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63">
        <f>261+28+28</f>
        <v>317</v>
      </c>
      <c r="C71" s="53">
        <v>5</v>
      </c>
      <c r="D71" s="63">
        <f>D69</f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63">
        <f>274+28</f>
        <v>302</v>
      </c>
      <c r="C72" s="53"/>
      <c r="D72" s="63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63">
        <f>284+28+28</f>
        <v>340</v>
      </c>
      <c r="C73" s="53">
        <v>6</v>
      </c>
      <c r="D73" s="63">
        <f>28+28</f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63">
        <f>292+28</f>
        <v>320</v>
      </c>
      <c r="C74" s="53"/>
      <c r="D74" s="63"/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63">
        <f>302+28+28</f>
        <v>358</v>
      </c>
      <c r="C75" s="53">
        <v>7</v>
      </c>
      <c r="D75" s="63">
        <f>28+28</f>
        <v>56</v>
      </c>
      <c r="E75" s="54"/>
      <c r="F75" s="54"/>
      <c r="G75" s="54"/>
      <c r="H75" s="54"/>
      <c r="I75" s="52">
        <f t="shared" si="2"/>
        <v>3.8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v>361</v>
      </c>
      <c r="C76" s="53">
        <v>8</v>
      </c>
      <c r="D76" s="53">
        <v>55</v>
      </c>
      <c r="E76" s="54"/>
      <c r="F76" s="54"/>
      <c r="G76" s="54"/>
      <c r="H76" s="54"/>
      <c r="I76" s="52">
        <f t="shared" si="2"/>
        <v>5.9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360</v>
      </c>
      <c r="C77" s="53">
        <v>9</v>
      </c>
      <c r="D77" s="53">
        <v>53</v>
      </c>
      <c r="E77" s="54"/>
      <c r="F77" s="54"/>
      <c r="G77" s="54"/>
      <c r="H77" s="54"/>
      <c r="I77" s="52">
        <f t="shared" si="2"/>
        <v>5.4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352</v>
      </c>
      <c r="C78" s="53">
        <v>10</v>
      </c>
      <c r="D78" s="53">
        <v>47</v>
      </c>
      <c r="E78" s="54"/>
      <c r="F78" s="54"/>
      <c r="G78" s="54"/>
      <c r="H78" s="54"/>
      <c r="I78" s="52">
        <f t="shared" si="2"/>
        <v>4.5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v>347</v>
      </c>
      <c r="C79" s="53">
        <v>11</v>
      </c>
      <c r="D79" s="53">
        <v>44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v>343</v>
      </c>
      <c r="C80" s="53">
        <v>12</v>
      </c>
      <c r="D80" s="53">
        <v>43</v>
      </c>
      <c r="E80" s="54"/>
      <c r="F80" s="54"/>
      <c r="G80" s="54"/>
      <c r="H80" s="54"/>
      <c r="I80" s="52">
        <f t="shared" si="2"/>
        <v>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335</v>
      </c>
      <c r="C81" s="53">
        <v>13</v>
      </c>
      <c r="D81" s="53">
        <v>335</v>
      </c>
      <c r="E81" s="54"/>
      <c r="F81" s="54"/>
      <c r="G81" s="54"/>
      <c r="H81" s="54"/>
      <c r="I81" s="52">
        <f t="shared" si="2"/>
        <v>3.5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40</v>
      </c>
      <c r="C88" s="53"/>
      <c r="D88" s="63"/>
      <c r="E88" s="54"/>
      <c r="F88" s="54"/>
      <c r="G88" s="54"/>
      <c r="H88" s="54"/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f>85+3</f>
        <v>88</v>
      </c>
      <c r="C89" s="53"/>
      <c r="D89" s="63"/>
      <c r="E89" s="54"/>
      <c r="F89" s="54"/>
      <c r="G89" s="54"/>
      <c r="H89" s="54"/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f>113+3+25</f>
        <v>141</v>
      </c>
      <c r="C90" s="53">
        <v>1</v>
      </c>
      <c r="D90" s="63">
        <f>3+25+27</f>
        <v>55</v>
      </c>
      <c r="E90" s="54"/>
      <c r="F90" s="54"/>
      <c r="G90" s="54"/>
      <c r="H90" s="54">
        <v>1</v>
      </c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31</v>
      </c>
      <c r="B91" s="63">
        <v>155</v>
      </c>
      <c r="C91" s="53">
        <v>2</v>
      </c>
      <c r="D91" s="63">
        <v>36</v>
      </c>
      <c r="E91" s="54"/>
      <c r="F91" s="54"/>
      <c r="G91" s="54"/>
      <c r="H91" s="54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37</v>
      </c>
      <c r="B92" s="63">
        <v>188</v>
      </c>
      <c r="C92" s="53">
        <v>3</v>
      </c>
      <c r="D92" s="63">
        <v>36</v>
      </c>
      <c r="E92" s="54"/>
      <c r="F92" s="54"/>
      <c r="G92" s="54"/>
      <c r="H92" s="54"/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44</v>
      </c>
      <c r="B93" s="63">
        <v>230</v>
      </c>
      <c r="C93" s="53">
        <v>4</v>
      </c>
      <c r="D93" s="63">
        <v>43</v>
      </c>
      <c r="E93" s="54"/>
      <c r="F93" s="54"/>
      <c r="G93" s="54"/>
      <c r="H93" s="54"/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>
        <v>52</v>
      </c>
      <c r="B94" s="63">
        <v>270</v>
      </c>
      <c r="C94" s="63">
        <v>5</v>
      </c>
      <c r="D94" s="63">
        <v>48</v>
      </c>
      <c r="E94" s="93"/>
      <c r="F94" s="93"/>
      <c r="G94" s="93"/>
      <c r="H94" s="93"/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297</v>
      </c>
      <c r="C95" s="63">
        <v>6</v>
      </c>
      <c r="D95" s="63">
        <v>47</v>
      </c>
      <c r="E95" s="93"/>
      <c r="F95" s="93"/>
      <c r="G95" s="93"/>
      <c r="H95" s="93"/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69</v>
      </c>
      <c r="B96" s="63">
        <v>328</v>
      </c>
      <c r="C96" s="63">
        <v>7</v>
      </c>
      <c r="D96" s="63">
        <f>B96</f>
        <v>328</v>
      </c>
      <c r="E96" s="93"/>
      <c r="F96" s="93"/>
      <c r="G96" s="93"/>
      <c r="H96" s="93"/>
      <c r="I96" s="56">
        <f t="shared" si="3"/>
        <v>8.6666666666666661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Tilleul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f>72/1.56</f>
        <v>46.153846153846153</v>
      </c>
      <c r="C114" s="63"/>
      <c r="D114" s="63"/>
      <c r="E114" s="54"/>
      <c r="F114" s="54"/>
      <c r="G114" s="54"/>
      <c r="H114" s="54"/>
      <c r="I114" s="56">
        <f>IFERROR(B114/A114,"")</f>
        <v>4.615384615384615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f>(141+16)/1.56</f>
        <v>100.64102564102564</v>
      </c>
      <c r="C115" s="63">
        <v>1</v>
      </c>
      <c r="D115" s="63">
        <f>(16+27)/1.56</f>
        <v>27.564102564102562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10.897435897435896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f>204/1.56</f>
        <v>130.76923076923077</v>
      </c>
      <c r="C116" s="63"/>
      <c r="D116" s="63"/>
      <c r="E116" s="54"/>
      <c r="F116" s="54"/>
      <c r="G116" s="54"/>
      <c r="H116" s="54"/>
      <c r="I116" s="56">
        <f t="shared" si="4"/>
        <v>11.538461538461542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f>(257+33)/1.56</f>
        <v>185.89743589743588</v>
      </c>
      <c r="C117" s="63">
        <v>2</v>
      </c>
      <c r="D117" s="63">
        <f>(35+33)/1.56</f>
        <v>43.589743589743591</v>
      </c>
      <c r="E117" s="54"/>
      <c r="F117" s="54"/>
      <c r="G117" s="54"/>
      <c r="H117" s="54">
        <v>1</v>
      </c>
      <c r="I117" s="56">
        <f t="shared" si="4"/>
        <v>11.025641025641022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f>302/1.56</f>
        <v>193.58974358974359</v>
      </c>
      <c r="C118" s="63"/>
      <c r="D118" s="63"/>
      <c r="E118" s="54"/>
      <c r="F118" s="54"/>
      <c r="G118" s="54"/>
      <c r="H118" s="54"/>
      <c r="I118" s="56">
        <f t="shared" si="4"/>
        <v>10.256410256410259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f>(341+35)/1.56</f>
        <v>241.02564102564102</v>
      </c>
      <c r="C119" s="63">
        <v>3</v>
      </c>
      <c r="D119" s="63">
        <f>(35+35)/1.56</f>
        <v>44.871794871794869</v>
      </c>
      <c r="E119" s="54"/>
      <c r="F119" s="54"/>
      <c r="G119" s="54"/>
      <c r="H119" s="54"/>
      <c r="I119" s="56">
        <f t="shared" si="4"/>
        <v>9.4871794871794854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f>(375/1.56)</f>
        <v>240.38461538461539</v>
      </c>
      <c r="C120" s="63"/>
      <c r="D120" s="63"/>
      <c r="E120" s="54"/>
      <c r="F120" s="54"/>
      <c r="G120" s="54"/>
      <c r="H120" s="54"/>
      <c r="I120" s="56">
        <f t="shared" si="4"/>
        <v>8.8461538461538449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45</v>
      </c>
      <c r="B121" s="63">
        <f>(407+32)/1.56</f>
        <v>281.41025641025641</v>
      </c>
      <c r="C121" s="63">
        <v>4</v>
      </c>
      <c r="D121" s="63">
        <v>28.205128205128204</v>
      </c>
      <c r="E121" s="54"/>
      <c r="F121" s="54"/>
      <c r="G121" s="54"/>
      <c r="H121" s="54"/>
      <c r="I121" s="56">
        <f t="shared" si="4"/>
        <v>8.2051282051282044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50</v>
      </c>
      <c r="B122" s="63">
        <f>433/1.56</f>
        <v>277.56410256410254</v>
      </c>
      <c r="C122" s="63"/>
      <c r="D122" s="63"/>
      <c r="E122" s="54"/>
      <c r="F122" s="54"/>
      <c r="G122" s="54"/>
      <c r="H122" s="54"/>
      <c r="I122" s="56">
        <f t="shared" si="4"/>
        <v>4.8717948717948669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55</v>
      </c>
      <c r="B123" s="58">
        <f>(457+32)/1.56</f>
        <v>313.46153846153845</v>
      </c>
      <c r="C123" s="58">
        <v>5</v>
      </c>
      <c r="D123" s="58">
        <f>(30+32)/1.56</f>
        <v>39.743589743589745</v>
      </c>
      <c r="E123" s="66"/>
      <c r="F123" s="66"/>
      <c r="G123" s="66"/>
      <c r="H123" s="66"/>
      <c r="I123" s="56">
        <f t="shared" si="4"/>
        <v>7.1794871794871824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60</v>
      </c>
      <c r="B124" s="58">
        <f>478/1.56</f>
        <v>306.41025641025641</v>
      </c>
      <c r="C124" s="58"/>
      <c r="D124" s="58"/>
      <c r="E124" s="66"/>
      <c r="F124" s="66"/>
      <c r="G124" s="66"/>
      <c r="H124" s="66"/>
      <c r="I124" s="56">
        <f t="shared" si="4"/>
        <v>6.5384615384615357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65</v>
      </c>
      <c r="B125" s="58">
        <f>(498+29)/1.56</f>
        <v>337.82051282051282</v>
      </c>
      <c r="C125" s="58">
        <v>6</v>
      </c>
      <c r="D125" s="58"/>
      <c r="E125" s="66"/>
      <c r="F125" s="66"/>
      <c r="G125" s="66"/>
      <c r="H125" s="66"/>
      <c r="I125" s="56">
        <f t="shared" si="4"/>
        <v>6.2820512820512819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70</v>
      </c>
      <c r="B126" s="58">
        <f>516/1.56</f>
        <v>330.76923076923077</v>
      </c>
      <c r="C126" s="58"/>
      <c r="D126" s="58"/>
      <c r="E126" s="67"/>
      <c r="F126" s="67"/>
      <c r="G126" s="67"/>
      <c r="H126" s="67"/>
      <c r="I126" s="56">
        <f t="shared" si="4"/>
        <v>-1.4102564102564088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75</v>
      </c>
      <c r="B127" s="63">
        <f>(532+27)/1.56</f>
        <v>358.33333333333331</v>
      </c>
      <c r="C127" s="94">
        <v>7</v>
      </c>
      <c r="D127" s="63">
        <f>(26+27)/1.56</f>
        <v>33.974358974358971</v>
      </c>
      <c r="E127" s="57"/>
      <c r="F127" s="57"/>
      <c r="G127" s="57"/>
      <c r="H127" s="57"/>
      <c r="I127" s="56">
        <f t="shared" si="4"/>
        <v>5.5128205128205083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80</v>
      </c>
      <c r="B128" s="53">
        <f>548/1.56</f>
        <v>351.28205128205127</v>
      </c>
      <c r="C128" s="53"/>
      <c r="D128" s="53"/>
      <c r="E128" s="57"/>
      <c r="F128" s="57"/>
      <c r="G128" s="57"/>
      <c r="H128" s="57"/>
      <c r="I128" s="56">
        <f t="shared" si="4"/>
        <v>5.3846153846153815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85</v>
      </c>
      <c r="B129" s="53">
        <f>(562+24)/1.56</f>
        <v>375.64102564102564</v>
      </c>
      <c r="C129" s="53">
        <v>8</v>
      </c>
      <c r="D129" s="53">
        <f>(24+24)/1.56</f>
        <v>30.769230769230766</v>
      </c>
      <c r="E129" s="57"/>
      <c r="F129" s="57"/>
      <c r="G129" s="57"/>
      <c r="H129" s="57"/>
      <c r="I129" s="56">
        <f t="shared" si="4"/>
        <v>4.8717948717948731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90</v>
      </c>
      <c r="B130" s="53">
        <f>575/1.56</f>
        <v>368.58974358974359</v>
      </c>
      <c r="C130" s="53"/>
      <c r="D130" s="53"/>
      <c r="E130" s="57"/>
      <c r="F130" s="57"/>
      <c r="G130" s="57"/>
      <c r="H130" s="57"/>
      <c r="I130" s="56">
        <f t="shared" si="4"/>
        <v>4.7435897435897463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95</v>
      </c>
      <c r="B131" s="53">
        <f>(587+23)/1.56</f>
        <v>391.02564102564099</v>
      </c>
      <c r="C131" s="53">
        <v>9</v>
      </c>
      <c r="D131" s="53">
        <f>(22+23)/1.56</f>
        <v>28.846153846153847</v>
      </c>
      <c r="E131" s="57"/>
      <c r="F131" s="57"/>
      <c r="G131" s="57"/>
      <c r="H131" s="57"/>
      <c r="I131" s="56">
        <f t="shared" si="4"/>
        <v>4.4871794871794801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100</v>
      </c>
      <c r="B132" s="53">
        <f>599/1.56</f>
        <v>383.97435897435895</v>
      </c>
      <c r="C132" s="53"/>
      <c r="D132" s="53"/>
      <c r="E132" s="57"/>
      <c r="F132" s="57"/>
      <c r="G132" s="57"/>
      <c r="H132" s="57"/>
      <c r="I132" s="56">
        <f t="shared" si="4"/>
        <v>4.3589743589743648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110</v>
      </c>
      <c r="B133" s="53">
        <f>(620+20+21)/1.56</f>
        <v>423.71794871794873</v>
      </c>
      <c r="C133" s="53">
        <v>10</v>
      </c>
      <c r="D133" s="53">
        <f>B133</f>
        <v>423.71794871794873</v>
      </c>
      <c r="E133" s="57"/>
      <c r="F133" s="57"/>
      <c r="G133" s="57"/>
      <c r="H133" s="57"/>
      <c r="I133" s="56">
        <f t="shared" si="4"/>
        <v>3.974358974358978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D1" zoomScaleNormal="100" workbookViewId="0">
      <selection activeCell="F8" sqref="F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rouge d'Amérique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Merisier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Tilleul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285.16422150773082</v>
      </c>
      <c r="T3" s="62">
        <f>IF('Données projet'!E9&gt;30,$R$33-$H$33,LOOKUP('Données projet'!$E$9,$A$3:$A$203,R3:R203)-LOOKUP('Données projet'!$E$9,$A$3:$A$203,$H$3:$H$203))</f>
        <v>448.96462312238845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384.44848355636935</v>
      </c>
      <c r="AO3" s="62">
        <f>IF('Données projet'!E10&gt;30,$AM$33-$H$33,LOOKUP('Données projet'!$E$10,$A$3:$A$203,AM3:AM203)-LOOKUP('Données projet'!$E$10,$A$3:$A$203,$H$3:$H$203))</f>
        <v>203.5274665601915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220.70608186257931</v>
      </c>
      <c r="BJ3" s="62">
        <f>IF('Données projet'!E11&gt;30,$BH$33-$H$33,LOOKUP('Données projet'!$E$11,$A$3:$A$203,BH3:BH203)-LOOKUP('Données projet'!$E$11,$A$3:$A$203,$H$3:$H$203))</f>
        <v>208.79744153433245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310.47303518828346</v>
      </c>
      <c r="CE3" s="62">
        <f>IF('Données projet'!E12&gt;30,$CC$33-$H$33,LOOKUP('Données projet'!$E$12,$A$3:$A$203,CC3:CC203)-LOOKUP('Données projet'!$E$12,$A$3:$A$203,$H$3:$H$203))</f>
        <v>247.30353382335278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7.1333333333333337</v>
      </c>
      <c r="N4" s="14">
        <f>IF('Données projet'!$A$36&gt;35,N3+M4-V3,IF(A4&lt;'Données projet'!$A$36,$K$205^A4,IF(A4='Données projet'!$A$36,'Données projet'!$B$36,N3+M4-V3)))</f>
        <v>1.3655017210306359</v>
      </c>
      <c r="O4" s="14">
        <f>N4*VLOOKUP('Données projet'!$B$9,Paramètres!$A$1:$I$89,3,0)*VLOOKUP('Données projet'!$B$9,Paramètres!$A$1:$I$89,5,0)</f>
        <v>1.1929023034923638</v>
      </c>
      <c r="P4" s="14">
        <f>EXP(-1.0587+0.8836*LN(O4)+0.284)</f>
        <v>0.53856749022761552</v>
      </c>
      <c r="Q4" s="22">
        <f t="shared" ref="Q4:Q34" si="2">(O4+P4)*0.475*44/12</f>
        <v>3.015643224062297</v>
      </c>
      <c r="R4" s="62">
        <f t="shared" si="0"/>
        <v>296.34897655739559</v>
      </c>
      <c r="S4" s="62">
        <f ca="1">AVERAGE(OFFSET($R$3,0,0,'Données projet'!$E$9+1,1))-AVERAGE(OFFSET($H$3,0,0,'Données projet'!$E$9+1,1))</f>
        <v>285.16422150773082</v>
      </c>
      <c r="T4" s="62">
        <f>$T$3</f>
        <v>448.96462312238845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296.17432310550635</v>
      </c>
      <c r="AN4" s="62">
        <f ca="1">AVERAGE(OFFSET($AM$3,0,0,'Données projet'!$E$10+1,1))-AVERAGE(OFFSET($H$3,0,0,'Données projet'!$E$10+1,1))</f>
        <v>384.44848355636935</v>
      </c>
      <c r="AO4" s="62">
        <f>$AO$3</f>
        <v>203.5274665601915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0.99746715073179792</v>
      </c>
      <c r="BF4" s="14">
        <f>EXP(-1.0587+0.8836*LN(BE4)+0.284)</f>
        <v>0.45981048445793882</v>
      </c>
      <c r="BG4" s="22">
        <f t="shared" ref="BG4:BG67" si="7">(BE4+BF4)*0.475*44/12</f>
        <v>2.5380918812887914</v>
      </c>
      <c r="BH4" s="62">
        <f t="shared" ref="BH4:BH67" si="8">BG4+(AY4+AZ4)*44/12</f>
        <v>295.87142521462209</v>
      </c>
      <c r="BI4" s="62">
        <f ca="1">AVERAGE(OFFSET($BH$3,0,0,'Données projet'!$E$11+1,1))-AVERAGE(OFFSET($H$3,0,0,'Données projet'!$E$11+1,1))</f>
        <v>220.70608186257931</v>
      </c>
      <c r="BJ4" s="62">
        <f>$BJ$3</f>
        <v>208.79744153433245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4.615384615384615</v>
      </c>
      <c r="BY4" s="13">
        <f>IF('Données projet'!$A$114&gt;35,BY3+BX4-CG3,IF(A4&lt;'Données projet'!$A$114,$BV$205^A4,IF(A4='Données projet'!$A$114,'Données projet'!$B$114,BY3+BX4-CG3)))</f>
        <v>1.4669685047497352</v>
      </c>
      <c r="BZ4" s="14">
        <f>BY4*VLOOKUP('Données projet'!$B$12,Paramètres!$A$1:$I$89,3,0)*VLOOKUP('Données projet'!$B$12,Paramètres!$A$1:$I$89,5,0)</f>
        <v>0.98404247298612235</v>
      </c>
      <c r="CA4" s="14">
        <f>EXP(-1.0587+0.8836*LN(BZ4)+0.284)</f>
        <v>0.45433803689697932</v>
      </c>
      <c r="CB4" s="22">
        <f t="shared" ref="CB4:CB67" si="10">(BZ4+CA4)*0.475*44/12</f>
        <v>2.5051793880464022</v>
      </c>
      <c r="CC4" s="62">
        <f t="shared" ref="CC4:CC67" si="11">CB4+(BT4+BU4)*44/12</f>
        <v>295.83851272137974</v>
      </c>
      <c r="CD4" s="62">
        <f ca="1">AVERAGE(OFFSET($CC$3,0,0,'Données projet'!$E$12+1,1))-AVERAGE(OFFSET($H$3,0,0,'Données projet'!$E$12+1,1))</f>
        <v>310.47303518828346</v>
      </c>
      <c r="CE4" s="62">
        <f>$CE$3</f>
        <v>247.30353382335278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7.1333333333333337</v>
      </c>
      <c r="N5" s="14">
        <f>IF('Données projet'!$A$36&gt;35,N4+M5-V4,IF(A5&lt;'Données projet'!$A$36,$K$205^A5,IF(A5='Données projet'!$A$36,'Données projet'!$B$36,N4+M5-V4)))</f>
        <v>1.8645949501376287</v>
      </c>
      <c r="O5" s="14">
        <f>N5*VLOOKUP('Données projet'!$B$9,Paramètres!$A$1:$I$89,3,0)*VLOOKUP('Données projet'!$B$9,Paramètres!$A$1:$I$89,5,0)</f>
        <v>1.6289101484402326</v>
      </c>
      <c r="P5" s="14">
        <f t="shared" ref="P5:P68" si="33">EXP(-1.0587+0.8836*LN(O5)+0.284)</f>
        <v>0.70922554238821334</v>
      </c>
      <c r="Q5" s="22">
        <f t="shared" si="2"/>
        <v>4.0722529948595438</v>
      </c>
      <c r="R5" s="62">
        <f t="shared" si="0"/>
        <v>297.40558632819284</v>
      </c>
      <c r="S5" s="62">
        <f ca="1">AVERAGE(OFFSET($R$3,0,0,'Données projet'!$E$9+1,1))-AVERAGE(OFFSET($H$3,0,0,'Données projet'!$E$9+1,1))</f>
        <v>285.16422150773082</v>
      </c>
      <c r="T5" s="62">
        <f t="shared" ref="T5:T68" si="34">$T$3</f>
        <v>448.96462312238845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296.82694711009896</v>
      </c>
      <c r="AN5" s="62">
        <f ca="1">AVERAGE(OFFSET($AM$3,0,0,'Données projet'!$E$10+1,1))-AVERAGE(OFFSET($H$3,0,0,'Données projet'!$E$10+1,1))</f>
        <v>384.44848355636935</v>
      </c>
      <c r="AO5" s="62">
        <f t="shared" ref="AO5:AO68" si="36">$AO$3</f>
        <v>203.5274665601915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1.2755650215243732</v>
      </c>
      <c r="BF5" s="14">
        <f t="shared" ref="BF5:BF68" si="37">EXP(-1.0587+0.8836*LN(BE5)+0.284)</f>
        <v>0.57141400910743001</v>
      </c>
      <c r="BG5" s="22">
        <f t="shared" si="7"/>
        <v>3.2168218116837237</v>
      </c>
      <c r="BH5" s="62">
        <f t="shared" si="8"/>
        <v>296.55015514501702</v>
      </c>
      <c r="BI5" s="62">
        <f ca="1">AVERAGE(OFFSET($BH$3,0,0,'Données projet'!$E$11+1,1))-AVERAGE(OFFSET($H$3,0,0,'Données projet'!$E$11+1,1))</f>
        <v>220.70608186257931</v>
      </c>
      <c r="BJ5" s="62">
        <f t="shared" ref="BJ5:BJ68" si="38">$BJ$3</f>
        <v>208.79744153433245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4.615384615384615</v>
      </c>
      <c r="BY5" s="13">
        <f>IF('Données projet'!$A$114&gt;35,BY4+BX5-CG4,IF(A5&lt;'Données projet'!$A$114,$BV$205^A5,IF(A5='Données projet'!$A$114,'Données projet'!$B$114,BY4+BX5-CG4)))</f>
        <v>2.1519965939276737</v>
      </c>
      <c r="BZ5" s="14">
        <f>BY5*VLOOKUP('Données projet'!$B$12,Paramètres!$A$1:$I$89,3,0)*VLOOKUP('Données projet'!$B$12,Paramètres!$A$1:$I$89,5,0)</f>
        <v>1.4435593152066835</v>
      </c>
      <c r="CA5" s="14">
        <f t="shared" ref="CA5:CA68" si="39">EXP(-1.0587+0.8836*LN(BZ5)+0.284)</f>
        <v>0.63742414056230023</v>
      </c>
      <c r="CB5" s="22">
        <f t="shared" si="10"/>
        <v>3.624379518797646</v>
      </c>
      <c r="CC5" s="62">
        <f t="shared" si="11"/>
        <v>296.95771285213095</v>
      </c>
      <c r="CD5" s="62">
        <f ca="1">AVERAGE(OFFSET($CC$3,0,0,'Données projet'!$E$12+1,1))-AVERAGE(OFFSET($H$3,0,0,'Données projet'!$E$12+1,1))</f>
        <v>310.47303518828346</v>
      </c>
      <c r="CE5" s="62">
        <f t="shared" ref="CE5:CE68" si="40">$CE$3</f>
        <v>247.30353382335278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7.1333333333333337</v>
      </c>
      <c r="N6" s="14">
        <f>IF('Données projet'!$A$36&gt;35,N5+M6-V5,IF(A6&lt;'Données projet'!$A$36,$K$205^A6,IF(A6='Données projet'!$A$36,'Données projet'!$B$36,N5+M6-V5)))</f>
        <v>2.5461076134379645</v>
      </c>
      <c r="O6" s="14">
        <f>N6*VLOOKUP('Données projet'!$B$9,Paramètres!$A$1:$I$89,3,0)*VLOOKUP('Données projet'!$B$9,Paramètres!$A$1:$I$89,5,0)</f>
        <v>2.2242796110994063</v>
      </c>
      <c r="P6" s="14">
        <f t="shared" si="33"/>
        <v>0.93396069963909534</v>
      </c>
      <c r="Q6" s="22">
        <f t="shared" si="2"/>
        <v>5.5006018745362235</v>
      </c>
      <c r="R6" s="62">
        <f t="shared" si="0"/>
        <v>298.83393520786956</v>
      </c>
      <c r="S6" s="62">
        <f ca="1">AVERAGE(OFFSET($R$3,0,0,'Données projet'!$E$9+1,1))-AVERAGE(OFFSET($H$3,0,0,'Données projet'!$E$9+1,1))</f>
        <v>285.16422150773082</v>
      </c>
      <c r="T6" s="62">
        <f t="shared" si="34"/>
        <v>448.96462312238845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297.63006022433916</v>
      </c>
      <c r="AN6" s="62">
        <f ca="1">AVERAGE(OFFSET($AM$3,0,0,'Données projet'!$E$10+1,1))-AVERAGE(OFFSET($H$3,0,0,'Données projet'!$E$10+1,1))</f>
        <v>384.44848355636935</v>
      </c>
      <c r="AO6" s="62">
        <f t="shared" si="36"/>
        <v>203.5274665601915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1.6311977020423858</v>
      </c>
      <c r="BF6" s="14">
        <f t="shared" si="37"/>
        <v>0.71010553443370616</v>
      </c>
      <c r="BG6" s="22">
        <f t="shared" si="7"/>
        <v>4.0777698035291934</v>
      </c>
      <c r="BH6" s="62">
        <f t="shared" si="8"/>
        <v>297.41110313686249</v>
      </c>
      <c r="BI6" s="62">
        <f ca="1">AVERAGE(OFFSET($BH$3,0,0,'Données projet'!$E$11+1,1))-AVERAGE(OFFSET($H$3,0,0,'Données projet'!$E$11+1,1))</f>
        <v>220.70608186257931</v>
      </c>
      <c r="BJ6" s="62">
        <f t="shared" si="38"/>
        <v>208.79744153433245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4.615384615384615</v>
      </c>
      <c r="BY6" s="13">
        <f>IF('Données projet'!$A$114&gt;35,BY5+BX6-CG5,IF(A6&lt;'Données projet'!$A$114,$BV$205^A6,IF(A6='Données projet'!$A$114,'Données projet'!$B$114,BY5+BX6-CG5)))</f>
        <v>3.1569112256206027</v>
      </c>
      <c r="BZ6" s="14">
        <f>BY6*VLOOKUP('Données projet'!$B$12,Paramètres!$A$1:$I$89,3,0)*VLOOKUP('Données projet'!$B$12,Paramètres!$A$1:$I$89,5,0)</f>
        <v>2.1176560501463002</v>
      </c>
      <c r="CA6" s="14">
        <f t="shared" si="39"/>
        <v>0.89428905787106128</v>
      </c>
      <c r="CB6" s="22">
        <f t="shared" si="10"/>
        <v>5.245804396463571</v>
      </c>
      <c r="CC6" s="62">
        <f t="shared" si="11"/>
        <v>298.57913772979691</v>
      </c>
      <c r="CD6" s="62">
        <f ca="1">AVERAGE(OFFSET($CC$3,0,0,'Données projet'!$E$12+1,1))-AVERAGE(OFFSET($H$3,0,0,'Données projet'!$E$12+1,1))</f>
        <v>310.47303518828346</v>
      </c>
      <c r="CE6" s="62">
        <f t="shared" si="40"/>
        <v>247.30353382335278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7.1333333333333337</v>
      </c>
      <c r="N7" s="14">
        <f>IF('Données projet'!$A$36&gt;35,N6+M7-V6,IF(A7&lt;'Données projet'!$A$36,$K$205^A7,IF(A7='Données projet'!$A$36,'Données projet'!$B$36,N6+M7-V6)))</f>
        <v>3.4767143280787458</v>
      </c>
      <c r="O7" s="14">
        <f>N7*VLOOKUP('Données projet'!$B$9,Paramètres!$A$1:$I$89,3,0)*VLOOKUP('Données projet'!$B$9,Paramètres!$A$1:$I$89,5,0)</f>
        <v>3.0372576370095925</v>
      </c>
      <c r="P7" s="14">
        <f t="shared" si="33"/>
        <v>1.2299085923119242</v>
      </c>
      <c r="Q7" s="22">
        <f t="shared" si="2"/>
        <v>7.4319811827349751</v>
      </c>
      <c r="R7" s="62">
        <f t="shared" si="0"/>
        <v>300.76531451606832</v>
      </c>
      <c r="S7" s="62">
        <f ca="1">AVERAGE(OFFSET($R$3,0,0,'Données projet'!$E$9+1,1))-AVERAGE(OFFSET($H$3,0,0,'Données projet'!$E$9+1,1))</f>
        <v>285.16422150773082</v>
      </c>
      <c r="T7" s="62">
        <f t="shared" si="34"/>
        <v>448.96462312238845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298.61848781128475</v>
      </c>
      <c r="AN7" s="62">
        <f ca="1">AVERAGE(OFFSET($AM$3,0,0,'Données projet'!$E$10+1,1))-AVERAGE(OFFSET($H$3,0,0,'Données projet'!$E$10+1,1))</f>
        <v>384.44848355636935</v>
      </c>
      <c r="AO7" s="62">
        <f t="shared" si="36"/>
        <v>203.5274665601915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2.0859822104313781</v>
      </c>
      <c r="BF7" s="14">
        <f t="shared" si="37"/>
        <v>0.88245976121767966</v>
      </c>
      <c r="BG7" s="22">
        <f t="shared" si="7"/>
        <v>5.1700364339554419</v>
      </c>
      <c r="BH7" s="62">
        <f t="shared" si="8"/>
        <v>298.50336976728875</v>
      </c>
      <c r="BI7" s="62">
        <f ca="1">AVERAGE(OFFSET($BH$3,0,0,'Données projet'!$E$11+1,1))-AVERAGE(OFFSET($H$3,0,0,'Données projet'!$E$11+1,1))</f>
        <v>220.70608186257931</v>
      </c>
      <c r="BJ7" s="62">
        <f t="shared" si="38"/>
        <v>208.79744153433245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4.615384615384615</v>
      </c>
      <c r="BY7" s="13">
        <f>IF('Données projet'!$A$114&gt;35,BY6+BX7-CG6,IF(A7&lt;'Données projet'!$A$114,$BV$205^A7,IF(A7='Données projet'!$A$114,'Données projet'!$B$114,BY6+BX7-CG6)))</f>
        <v>4.6310893402763087</v>
      </c>
      <c r="BZ7" s="14">
        <f>BY7*VLOOKUP('Données projet'!$B$12,Paramètres!$A$1:$I$89,3,0)*VLOOKUP('Données projet'!$B$12,Paramètres!$A$1:$I$89,5,0)</f>
        <v>3.1065347294573482</v>
      </c>
      <c r="CA7" s="14">
        <f t="shared" si="39"/>
        <v>1.2546636817400934</v>
      </c>
      <c r="CB7" s="22">
        <f t="shared" si="10"/>
        <v>7.5957538995022098</v>
      </c>
      <c r="CC7" s="62">
        <f t="shared" si="11"/>
        <v>300.92908723283551</v>
      </c>
      <c r="CD7" s="62">
        <f ca="1">AVERAGE(OFFSET($CC$3,0,0,'Données projet'!$E$12+1,1))-AVERAGE(OFFSET($H$3,0,0,'Données projet'!$E$12+1,1))</f>
        <v>310.47303518828346</v>
      </c>
      <c r="CE7" s="62">
        <f t="shared" si="40"/>
        <v>247.30353382335278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7.1333333333333337</v>
      </c>
      <c r="N8" s="14">
        <f>IF('Données projet'!$A$36&gt;35,N7+M8-V7,IF(A8&lt;'Données projet'!$A$36,$K$205^A8,IF(A8='Données projet'!$A$36,'Données projet'!$B$36,N7+M8-V7)))</f>
        <v>4.7474593985233984</v>
      </c>
      <c r="O8" s="14">
        <f>N8*VLOOKUP('Données projet'!$B$9,Paramètres!$A$1:$I$89,3,0)*VLOOKUP('Données projet'!$B$9,Paramètres!$A$1:$I$89,5,0)</f>
        <v>4.1473805305500413</v>
      </c>
      <c r="P8" s="14">
        <f t="shared" si="33"/>
        <v>1.6196346870133109</v>
      </c>
      <c r="Q8" s="22">
        <f t="shared" si="2"/>
        <v>10.044218170589504</v>
      </c>
      <c r="R8" s="62">
        <f t="shared" si="0"/>
        <v>303.3775515039228</v>
      </c>
      <c r="S8" s="62">
        <f ca="1">AVERAGE(OFFSET($R$3,0,0,'Données projet'!$E$9+1,1))-AVERAGE(OFFSET($H$3,0,0,'Données projet'!$E$9+1,1))</f>
        <v>285.16422150773082</v>
      </c>
      <c r="T8" s="62">
        <f t="shared" si="34"/>
        <v>448.96462312238845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299.83514117239878</v>
      </c>
      <c r="AN8" s="62">
        <f ca="1">AVERAGE(OFFSET($AM$3,0,0,'Données projet'!$E$10+1,1))-AVERAGE(OFFSET($H$3,0,0,'Données projet'!$E$10+1,1))</f>
        <v>384.44848355636935</v>
      </c>
      <c r="AO8" s="62">
        <f t="shared" si="36"/>
        <v>203.5274665601915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2.6675624768156463</v>
      </c>
      <c r="BF8" s="14">
        <f t="shared" si="37"/>
        <v>1.0966471776471767</v>
      </c>
      <c r="BG8" s="22">
        <f t="shared" si="7"/>
        <v>6.5559984815227494</v>
      </c>
      <c r="BH8" s="62">
        <f t="shared" si="8"/>
        <v>299.88933181485606</v>
      </c>
      <c r="BI8" s="62">
        <f ca="1">AVERAGE(OFFSET($BH$3,0,0,'Données projet'!$E$11+1,1))-AVERAGE(OFFSET($H$3,0,0,'Données projet'!$E$11+1,1))</f>
        <v>220.70608186257931</v>
      </c>
      <c r="BJ8" s="62">
        <f t="shared" si="38"/>
        <v>208.79744153433245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4.615384615384615</v>
      </c>
      <c r="BY8" s="13">
        <f>IF('Données projet'!$A$114&gt;35,BY7+BX8-CG7,IF(A8&lt;'Données projet'!$A$114,$BV$205^A8,IF(A8='Données projet'!$A$114,'Données projet'!$B$114,BY7+BX8-CG7)))</f>
        <v>6.7936622048675739</v>
      </c>
      <c r="BZ8" s="14">
        <f>BY8*VLOOKUP('Données projet'!$B$12,Paramètres!$A$1:$I$89,3,0)*VLOOKUP('Données projet'!$B$12,Paramètres!$A$1:$I$89,5,0)</f>
        <v>4.5571886070251688</v>
      </c>
      <c r="CA8" s="14">
        <f t="shared" si="39"/>
        <v>1.7602596614847237</v>
      </c>
      <c r="CB8" s="22">
        <f t="shared" si="10"/>
        <v>11.002889067654728</v>
      </c>
      <c r="CC8" s="62">
        <f t="shared" si="11"/>
        <v>304.33622240098805</v>
      </c>
      <c r="CD8" s="62">
        <f ca="1">AVERAGE(OFFSET($CC$3,0,0,'Données projet'!$E$12+1,1))-AVERAGE(OFFSET($H$3,0,0,'Données projet'!$E$12+1,1))</f>
        <v>310.47303518828346</v>
      </c>
      <c r="CE8" s="62">
        <f t="shared" si="40"/>
        <v>247.30353382335278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7.1333333333333337</v>
      </c>
      <c r="N9" s="14">
        <f>IF('Données projet'!$A$36&gt;35,N8+M9-V8,IF(A9&lt;'Données projet'!$A$36,$K$205^A9,IF(A9='Données projet'!$A$36,'Données projet'!$B$36,N8+M9-V8)))</f>
        <v>6.4826639792067677</v>
      </c>
      <c r="O9" s="14">
        <f>N9*VLOOKUP('Données projet'!$B$9,Paramètres!$A$1:$I$89,3,0)*VLOOKUP('Données projet'!$B$9,Paramètres!$A$1:$I$89,5,0)</f>
        <v>5.6632552522350332</v>
      </c>
      <c r="P9" s="14">
        <f t="shared" si="33"/>
        <v>2.1328548607386395</v>
      </c>
      <c r="Q9" s="22">
        <f t="shared" si="2"/>
        <v>13.578225113429147</v>
      </c>
      <c r="R9" s="62">
        <f t="shared" si="0"/>
        <v>306.91155844676246</v>
      </c>
      <c r="S9" s="62">
        <f ca="1">AVERAGE(OFFSET($R$3,0,0,'Données projet'!$E$9+1,1))-AVERAGE(OFFSET($H$3,0,0,'Données projet'!$E$9+1,1))</f>
        <v>285.16422150773082</v>
      </c>
      <c r="T9" s="62">
        <f t="shared" si="34"/>
        <v>448.96462312238845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301.33290077663611</v>
      </c>
      <c r="AN9" s="62">
        <f ca="1">AVERAGE(OFFSET($AM$3,0,0,'Données projet'!$E$10+1,1))-AVERAGE(OFFSET($H$3,0,0,'Données projet'!$E$10+1,1))</f>
        <v>384.44848355636935</v>
      </c>
      <c r="AO9" s="62">
        <f t="shared" si="36"/>
        <v>203.5274665601915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3.4112896707030256</v>
      </c>
      <c r="BF9" s="14">
        <f t="shared" si="37"/>
        <v>1.3628213830192535</v>
      </c>
      <c r="BG9" s="22">
        <f t="shared" si="7"/>
        <v>8.3149100852329703</v>
      </c>
      <c r="BH9" s="62">
        <f t="shared" si="8"/>
        <v>301.64824341856627</v>
      </c>
      <c r="BI9" s="62">
        <f ca="1">AVERAGE(OFFSET($BH$3,0,0,'Données projet'!$E$11+1,1))-AVERAGE(OFFSET($H$3,0,0,'Données projet'!$E$11+1,1))</f>
        <v>220.70608186257931</v>
      </c>
      <c r="BJ9" s="62">
        <f t="shared" si="38"/>
        <v>208.79744153433245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4.615384615384615</v>
      </c>
      <c r="BY9" s="13">
        <f>IF('Données projet'!$A$114&gt;35,BY8+BX9-CG8,IF(A9&lt;'Données projet'!$A$114,$BV$205^A9,IF(A9='Données projet'!$A$114,'Données projet'!$B$114,BY8+BX9-CG8)))</f>
        <v>9.9660884864493742</v>
      </c>
      <c r="BZ9" s="14">
        <f>BY9*VLOOKUP('Données projet'!$B$12,Paramètres!$A$1:$I$89,3,0)*VLOOKUP('Données projet'!$B$12,Paramètres!$A$1:$I$89,5,0)</f>
        <v>6.6852521567102405</v>
      </c>
      <c r="CA9" s="14">
        <f t="shared" si="39"/>
        <v>2.4695973279094066</v>
      </c>
      <c r="CB9" s="22">
        <f t="shared" si="10"/>
        <v>15.94469618571255</v>
      </c>
      <c r="CC9" s="62">
        <f t="shared" si="11"/>
        <v>309.27802951904584</v>
      </c>
      <c r="CD9" s="62">
        <f ca="1">AVERAGE(OFFSET($CC$3,0,0,'Données projet'!$E$12+1,1))-AVERAGE(OFFSET($H$3,0,0,'Données projet'!$E$12+1,1))</f>
        <v>310.47303518828346</v>
      </c>
      <c r="CE9" s="62">
        <f t="shared" si="40"/>
        <v>247.30353382335278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7.1333333333333337</v>
      </c>
      <c r="N10" s="14">
        <f>IF('Données projet'!$A$36&gt;35,N9+M10-V9,IF(A10&lt;'Données projet'!$A$36,$K$205^A10,IF(A10='Données projet'!$A$36,'Données projet'!$B$36,N9+M10-V9)))</f>
        <v>8.8520888204701524</v>
      </c>
      <c r="O10" s="14">
        <f>N10*VLOOKUP('Données projet'!$B$9,Paramètres!$A$1:$I$89,3,0)*VLOOKUP('Données projet'!$B$9,Paramètres!$A$1:$I$89,5,0)</f>
        <v>7.7331847935627263</v>
      </c>
      <c r="P10" s="14">
        <f t="shared" si="33"/>
        <v>2.8087011802427866</v>
      </c>
      <c r="Q10" s="22">
        <f t="shared" si="2"/>
        <v>18.360451404377937</v>
      </c>
      <c r="R10" s="62">
        <f t="shared" si="0"/>
        <v>311.69378473771127</v>
      </c>
      <c r="S10" s="62">
        <f ca="1">AVERAGE(OFFSET($R$3,0,0,'Données projet'!$E$9+1,1))-AVERAGE(OFFSET($H$3,0,0,'Données projet'!$E$9+1,1))</f>
        <v>285.16422150773082</v>
      </c>
      <c r="T10" s="62">
        <f t="shared" si="34"/>
        <v>448.96462312238845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303.17693934275616</v>
      </c>
      <c r="AN10" s="62">
        <f ca="1">AVERAGE(OFFSET($AM$3,0,0,'Données projet'!$E$10+1,1))-AVERAGE(OFFSET($H$3,0,0,'Données projet'!$E$10+1,1))</f>
        <v>384.44848355636935</v>
      </c>
      <c r="AO10" s="62">
        <f t="shared" si="36"/>
        <v>203.5274665601915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4.3623710104576414</v>
      </c>
      <c r="BF10" s="14">
        <f t="shared" si="37"/>
        <v>1.6936004212396314</v>
      </c>
      <c r="BG10" s="22">
        <f t="shared" si="7"/>
        <v>10.54748357687275</v>
      </c>
      <c r="BH10" s="62">
        <f t="shared" si="8"/>
        <v>303.88081691020608</v>
      </c>
      <c r="BI10" s="62">
        <f ca="1">AVERAGE(OFFSET($BH$3,0,0,'Données projet'!$E$11+1,1))-AVERAGE(OFFSET($H$3,0,0,'Données projet'!$E$11+1,1))</f>
        <v>220.70608186257931</v>
      </c>
      <c r="BJ10" s="62">
        <f t="shared" si="38"/>
        <v>208.79744153433245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4.615384615384615</v>
      </c>
      <c r="BY10" s="13">
        <f>IF('Données projet'!$A$114&gt;35,BY9+BX10-CG9,IF(A10&lt;'Données projet'!$A$114,$BV$205^A10,IF(A10='Données projet'!$A$114,'Données projet'!$B$114,BY9+BX10-CG9)))</f>
        <v>14.61993792517019</v>
      </c>
      <c r="BZ10" s="14">
        <f>BY10*VLOOKUP('Données projet'!$B$12,Paramètres!$A$1:$I$89,3,0)*VLOOKUP('Données projet'!$B$12,Paramètres!$A$1:$I$89,5,0)</f>
        <v>9.8070543602041642</v>
      </c>
      <c r="CA10" s="14">
        <f t="shared" si="39"/>
        <v>3.464779143364022</v>
      </c>
      <c r="CB10" s="22">
        <f t="shared" si="10"/>
        <v>23.115110018714589</v>
      </c>
      <c r="CC10" s="62">
        <f t="shared" si="11"/>
        <v>316.44844335204789</v>
      </c>
      <c r="CD10" s="62">
        <f ca="1">AVERAGE(OFFSET($CC$3,0,0,'Données projet'!$E$12+1,1))-AVERAGE(OFFSET($H$3,0,0,'Données projet'!$E$12+1,1))</f>
        <v>310.47303518828346</v>
      </c>
      <c r="CE10" s="62">
        <f t="shared" si="40"/>
        <v>247.30353382335278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7.1333333333333337</v>
      </c>
      <c r="N11" s="14">
        <f>IF('Données projet'!$A$36&gt;35,N10+M11-V10,IF(A11&lt;'Données projet'!$A$36,$K$205^A11,IF(A11='Données projet'!$A$36,'Données projet'!$B$36,N10+M11-V10)))</f>
        <v>12.087542519068045</v>
      </c>
      <c r="O11" s="14">
        <f>N11*VLOOKUP('Données projet'!$B$9,Paramètres!$A$1:$I$89,3,0)*VLOOKUP('Données projet'!$B$9,Paramètres!$A$1:$I$89,5,0)</f>
        <v>10.559677144657845</v>
      </c>
      <c r="P11" s="14">
        <f t="shared" si="33"/>
        <v>3.6987056480557761</v>
      </c>
      <c r="Q11" s="22">
        <f t="shared" si="2"/>
        <v>24.83335003064289</v>
      </c>
      <c r="R11" s="62">
        <f t="shared" si="0"/>
        <v>318.16668336397618</v>
      </c>
      <c r="S11" s="62">
        <f ca="1">AVERAGE(OFFSET($R$3,0,0,'Données projet'!$E$9+1,1))-AVERAGE(OFFSET($H$3,0,0,'Données projet'!$E$9+1,1))</f>
        <v>285.16422150773082</v>
      </c>
      <c r="T11" s="62">
        <f t="shared" si="34"/>
        <v>448.96462312238845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305.44758777557922</v>
      </c>
      <c r="AN11" s="62">
        <f ca="1">AVERAGE(OFFSET($AM$3,0,0,'Données projet'!$E$10+1,1))-AVERAGE(OFFSET($H$3,0,0,'Données projet'!$E$10+1,1))</f>
        <v>384.44848355636935</v>
      </c>
      <c r="AO11" s="62">
        <f t="shared" si="36"/>
        <v>203.5274665601915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5.5786176695335605</v>
      </c>
      <c r="BF11" s="14">
        <f t="shared" si="37"/>
        <v>2.1046649418345189</v>
      </c>
      <c r="BG11" s="22">
        <f t="shared" si="7"/>
        <v>13.381717214799407</v>
      </c>
      <c r="BH11" s="62">
        <f t="shared" si="8"/>
        <v>306.71505054813269</v>
      </c>
      <c r="BI11" s="62">
        <f ca="1">AVERAGE(OFFSET($BH$3,0,0,'Données projet'!$E$11+1,1))-AVERAGE(OFFSET($H$3,0,0,'Données projet'!$E$11+1,1))</f>
        <v>220.70608186257931</v>
      </c>
      <c r="BJ11" s="62">
        <f t="shared" si="38"/>
        <v>208.79744153433245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4.615384615384615</v>
      </c>
      <c r="BY11" s="13">
        <f>IF('Données projet'!$A$114&gt;35,BY10+BX11-CG10,IF(A11&lt;'Données projet'!$A$114,$BV$205^A11,IF(A11='Données projet'!$A$114,'Données projet'!$B$114,BY10+BX11-CG10)))</f>
        <v>21.446988477620856</v>
      </c>
      <c r="BZ11" s="14">
        <f>BY11*VLOOKUP('Données projet'!$B$12,Paramètres!$A$1:$I$89,3,0)*VLOOKUP('Données projet'!$B$12,Paramètres!$A$1:$I$89,5,0)</f>
        <v>14.386639870788072</v>
      </c>
      <c r="CA11" s="14">
        <f t="shared" si="39"/>
        <v>4.860992671405536</v>
      </c>
      <c r="CB11" s="22">
        <f t="shared" si="10"/>
        <v>33.522960010987198</v>
      </c>
      <c r="CC11" s="62">
        <f t="shared" si="11"/>
        <v>326.85629334432053</v>
      </c>
      <c r="CD11" s="62">
        <f ca="1">AVERAGE(OFFSET($CC$3,0,0,'Données projet'!$E$12+1,1))-AVERAGE(OFFSET($H$3,0,0,'Données projet'!$E$12+1,1))</f>
        <v>310.47303518828346</v>
      </c>
      <c r="CE11" s="62">
        <f t="shared" si="40"/>
        <v>247.30353382335278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7.1333333333333337</v>
      </c>
      <c r="N12" s="14">
        <f>IF('Données projet'!$A$36&gt;35,N11+M12-V11,IF(A12&lt;'Données projet'!$A$36,$K$205^A12,IF(A12='Données projet'!$A$36,'Données projet'!$B$36,N11+M12-V11)))</f>
        <v>16.505560112818404</v>
      </c>
      <c r="O12" s="14">
        <f>N12*VLOOKUP('Données projet'!$B$9,Paramètres!$A$1:$I$89,3,0)*VLOOKUP('Données projet'!$B$9,Paramètres!$A$1:$I$89,5,0)</f>
        <v>14.419257314558161</v>
      </c>
      <c r="P12" s="14">
        <f t="shared" si="33"/>
        <v>4.870729420129039</v>
      </c>
      <c r="Q12" s="22">
        <f t="shared" si="2"/>
        <v>33.596726896246878</v>
      </c>
      <c r="R12" s="62">
        <f t="shared" si="0"/>
        <v>326.93006022958019</v>
      </c>
      <c r="S12" s="62">
        <f ca="1">AVERAGE(OFFSET($R$3,0,0,'Données projet'!$E$9+1,1))-AVERAGE(OFFSET($H$3,0,0,'Données projet'!$E$9+1,1))</f>
        <v>285.16422150773082</v>
      </c>
      <c r="T12" s="62">
        <f t="shared" si="34"/>
        <v>448.96462312238845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308.24387113376753</v>
      </c>
      <c r="AN12" s="62">
        <f ca="1">AVERAGE(OFFSET($AM$3,0,0,'Données projet'!$E$10+1,1))-AVERAGE(OFFSET($H$3,0,0,'Données projet'!$E$10+1,1))</f>
        <v>384.44848355636935</v>
      </c>
      <c r="AO12" s="62">
        <f t="shared" si="36"/>
        <v>203.5274665601915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7.1339588100662858</v>
      </c>
      <c r="BF12" s="14">
        <f t="shared" si="37"/>
        <v>2.6155015444227643</v>
      </c>
      <c r="BG12" s="22">
        <f t="shared" si="7"/>
        <v>16.980310117401761</v>
      </c>
      <c r="BH12" s="62">
        <f t="shared" si="8"/>
        <v>310.31364345073507</v>
      </c>
      <c r="BI12" s="62">
        <f ca="1">AVERAGE(OFFSET($BH$3,0,0,'Données projet'!$E$11+1,1))-AVERAGE(OFFSET($H$3,0,0,'Données projet'!$E$11+1,1))</f>
        <v>220.70608186257931</v>
      </c>
      <c r="BJ12" s="62">
        <f t="shared" si="38"/>
        <v>208.79744153433245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4.615384615384615</v>
      </c>
      <c r="BY12" s="13">
        <f>IF('Données projet'!$A$114&gt;35,BY11+BX12-CG11,IF(A12&lt;'Données projet'!$A$114,$BV$205^A12,IF(A12='Données projet'!$A$114,'Données projet'!$B$114,BY11+BX12-CG11)))</f>
        <v>31.462056618400265</v>
      </c>
      <c r="BZ12" s="14">
        <f>BY12*VLOOKUP('Données projet'!$B$12,Paramètres!$A$1:$I$89,3,0)*VLOOKUP('Données projet'!$B$12,Paramètres!$A$1:$I$89,5,0)</f>
        <v>21.104747579622899</v>
      </c>
      <c r="CA12" s="14">
        <f t="shared" si="39"/>
        <v>6.8198429896216215</v>
      </c>
      <c r="CB12" s="22">
        <f t="shared" si="10"/>
        <v>48.635328574767534</v>
      </c>
      <c r="CC12" s="62">
        <f t="shared" si="11"/>
        <v>341.96866190810084</v>
      </c>
      <c r="CD12" s="62">
        <f ca="1">AVERAGE(OFFSET($CC$3,0,0,'Données projet'!$E$12+1,1))-AVERAGE(OFFSET($H$3,0,0,'Données projet'!$E$12+1,1))</f>
        <v>310.47303518828346</v>
      </c>
      <c r="CE12" s="62">
        <f t="shared" si="40"/>
        <v>247.30353382335278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7.1333333333333337</v>
      </c>
      <c r="N13" s="14">
        <f>IF('Données projet'!$A$36&gt;35,N12+M13-V12,IF(A13&lt;'Données projet'!$A$36,$K$205^A13,IF(A13='Données projet'!$A$36,'Données projet'!$B$36,N12+M13-V12)))</f>
        <v>22.538370740628146</v>
      </c>
      <c r="O13" s="14">
        <f>N13*VLOOKUP('Données projet'!$B$9,Paramètres!$A$1:$I$89,3,0)*VLOOKUP('Données projet'!$B$9,Paramètres!$A$1:$I$89,5,0)</f>
        <v>19.689520679012752</v>
      </c>
      <c r="P13" s="14">
        <f t="shared" si="33"/>
        <v>6.414137090520053</v>
      </c>
      <c r="Q13" s="22">
        <f t="shared" si="2"/>
        <v>45.463870615269634</v>
      </c>
      <c r="R13" s="62">
        <f t="shared" si="0"/>
        <v>338.79720394860294</v>
      </c>
      <c r="S13" s="62">
        <f ca="1">AVERAGE(OFFSET($R$3,0,0,'Données projet'!$E$9+1,1))-AVERAGE(OFFSET($H$3,0,0,'Données projet'!$E$9+1,1))</f>
        <v>285.16422150773082</v>
      </c>
      <c r="T13" s="62">
        <f t="shared" si="34"/>
        <v>448.96462312238845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311.68787167067455</v>
      </c>
      <c r="AN13" s="62">
        <f ca="1">AVERAGE(OFFSET($AM$3,0,0,'Données projet'!$E$10+1,1))-AVERAGE(OFFSET($H$3,0,0,'Données projet'!$E$10+1,1))</f>
        <v>384.44848355636935</v>
      </c>
      <c r="AO13" s="62">
        <f t="shared" si="36"/>
        <v>203.5274665601915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9.1229353432241354</v>
      </c>
      <c r="BF13" s="14">
        <f t="shared" si="37"/>
        <v>3.2503265450485803</v>
      </c>
      <c r="BG13" s="22">
        <f t="shared" si="7"/>
        <v>21.550097788741649</v>
      </c>
      <c r="BH13" s="62">
        <f t="shared" si="8"/>
        <v>314.88343112207497</v>
      </c>
      <c r="BI13" s="62">
        <f ca="1">AVERAGE(OFFSET($BH$3,0,0,'Données projet'!$E$11+1,1))-AVERAGE(OFFSET($H$3,0,0,'Données projet'!$E$11+1,1))</f>
        <v>220.70608186257931</v>
      </c>
      <c r="BJ13" s="62">
        <f t="shared" si="38"/>
        <v>208.79744153433245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46.153846153846153</v>
      </c>
      <c r="BW13" s="13">
        <f>VLOOKUP(A13,'Données projet'!$A$113:$I$133,9,0)</f>
        <v>4.615384615384615</v>
      </c>
      <c r="BX13" s="13">
        <f t="array" ref="BX13">INDEX(BW:BW,MIN(IF(ISNUMBER(BW13:BW209),ROW(BW13:BW209),"")))</f>
        <v>4.615384615384615</v>
      </c>
      <c r="BY13" s="13">
        <f>IF('Données projet'!$A$114&gt;35,BY12+BX13-CG12,IF(A13&lt;'Données projet'!$A$114,$BV$205^A13,IF(A13='Données projet'!$A$114,'Données projet'!$B$114,BY12+BX13-CG12)))</f>
        <v>46.153846153846153</v>
      </c>
      <c r="BZ13" s="14">
        <f>BY13*VLOOKUP('Données projet'!$B$12,Paramètres!$A$1:$I$89,3,0)*VLOOKUP('Données projet'!$B$12,Paramètres!$A$1:$I$89,5,0)</f>
        <v>30.96</v>
      </c>
      <c r="CA13" s="14">
        <f t="shared" si="39"/>
        <v>9.5680577090117094</v>
      </c>
      <c r="CB13" s="22">
        <f t="shared" si="10"/>
        <v>70.586367176528725</v>
      </c>
      <c r="CC13" s="62">
        <f t="shared" si="11"/>
        <v>363.91970050986203</v>
      </c>
      <c r="CD13" s="62">
        <f ca="1">AVERAGE(OFFSET($CC$3,0,0,'Données projet'!$E$12+1,1))-AVERAGE(OFFSET($H$3,0,0,'Données projet'!$E$12+1,1))</f>
        <v>310.47303518828346</v>
      </c>
      <c r="CE13" s="62">
        <f t="shared" si="40"/>
        <v>247.30353382335278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7.1333333333333337</v>
      </c>
      <c r="N14" s="14">
        <f>IF('Données projet'!$A$36&gt;35,N13+M14-V13,IF(A14&lt;'Données projet'!$A$36,$K$205^A14,IF(A14='Données projet'!$A$36,'Données projet'!$B$36,N13+M14-V13)))</f>
        <v>30.776184035554262</v>
      </c>
      <c r="O14" s="14">
        <f>N14*VLOOKUP('Données projet'!$B$9,Paramètres!$A$1:$I$89,3,0)*VLOOKUP('Données projet'!$B$9,Paramètres!$A$1:$I$89,5,0)</f>
        <v>26.886074373460207</v>
      </c>
      <c r="P14" s="14">
        <f t="shared" si="33"/>
        <v>8.4466105725279856</v>
      </c>
      <c r="Q14" s="22">
        <f t="shared" si="2"/>
        <v>61.537759614262761</v>
      </c>
      <c r="R14" s="62">
        <f t="shared" si="0"/>
        <v>354.87109294759608</v>
      </c>
      <c r="S14" s="62">
        <f ca="1">AVERAGE(OFFSET($R$3,0,0,'Données projet'!$E$9+1,1))-AVERAGE(OFFSET($H$3,0,0,'Données projet'!$E$9+1,1))</f>
        <v>285.16422150773082</v>
      </c>
      <c r="T14" s="62">
        <f t="shared" si="34"/>
        <v>448.96462312238845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315.93011288122739</v>
      </c>
      <c r="AN14" s="62">
        <f ca="1">AVERAGE(OFFSET($AM$3,0,0,'Données projet'!$E$10+1,1))-AVERAGE(OFFSET($H$3,0,0,'Données projet'!$E$10+1,1))</f>
        <v>384.44848355636935</v>
      </c>
      <c r="AO14" s="62">
        <f t="shared" si="36"/>
        <v>203.5274665601915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11.666446568097685</v>
      </c>
      <c r="BF14" s="14">
        <f t="shared" si="37"/>
        <v>4.0392339557111736</v>
      </c>
      <c r="BG14" s="22">
        <f t="shared" si="7"/>
        <v>27.354060245633761</v>
      </c>
      <c r="BH14" s="62">
        <f t="shared" si="8"/>
        <v>320.68739357896709</v>
      </c>
      <c r="BI14" s="62">
        <f ca="1">AVERAGE(OFFSET($BH$3,0,0,'Données projet'!$E$11+1,1))-AVERAGE(OFFSET($H$3,0,0,'Données projet'!$E$11+1,1))</f>
        <v>220.70608186257931</v>
      </c>
      <c r="BJ14" s="62">
        <f t="shared" si="38"/>
        <v>208.79744153433245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10.897435897435896</v>
      </c>
      <c r="BY14" s="13">
        <f>IF('Données projet'!$A$114&gt;35,BY13+BX14-CG13,IF(A14&lt;'Données projet'!$A$114,$BV$205^A14,IF(A14='Données projet'!$A$114,'Données projet'!$B$114,BY13+BX14-CG13)))</f>
        <v>57.051282051282051</v>
      </c>
      <c r="BZ14" s="14">
        <f>BY14*VLOOKUP('Données projet'!$B$12,Paramètres!$A$1:$I$89,3,0)*VLOOKUP('Données projet'!$B$12,Paramètres!$A$1:$I$89,5,0)</f>
        <v>38.270000000000003</v>
      </c>
      <c r="CA14" s="14">
        <f t="shared" si="39"/>
        <v>11.538936996892089</v>
      </c>
      <c r="CB14" s="22">
        <f t="shared" si="10"/>
        <v>86.750565269587057</v>
      </c>
      <c r="CC14" s="62">
        <f t="shared" si="11"/>
        <v>380.08389860292039</v>
      </c>
      <c r="CD14" s="62">
        <f ca="1">AVERAGE(OFFSET($CC$3,0,0,'Données projet'!$E$12+1,1))-AVERAGE(OFFSET($H$3,0,0,'Données projet'!$E$12+1,1))</f>
        <v>310.47303518828346</v>
      </c>
      <c r="CE14" s="62">
        <f t="shared" si="40"/>
        <v>247.30353382335278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7.1333333333333337</v>
      </c>
      <c r="N15" s="14">
        <f>IF('Données projet'!$A$36&gt;35,N14+M15-V14,IF(A15&lt;'Données projet'!$A$36,$K$205^A15,IF(A15='Données projet'!$A$36,'Données projet'!$B$36,N14+M15-V14)))</f>
        <v>42.024932267304926</v>
      </c>
      <c r="O15" s="14">
        <f>N15*VLOOKUP('Données projet'!$B$9,Paramètres!$A$1:$I$89,3,0)*VLOOKUP('Données projet'!$B$9,Paramètres!$A$1:$I$89,5,0)</f>
        <v>36.71298082871759</v>
      </c>
      <c r="P15" s="14">
        <f t="shared" si="33"/>
        <v>11.123122121818724</v>
      </c>
      <c r="Q15" s="22">
        <f t="shared" si="2"/>
        <v>83.314545972184078</v>
      </c>
      <c r="R15" s="62">
        <f t="shared" si="0"/>
        <v>376.64787930551739</v>
      </c>
      <c r="S15" s="62">
        <f ca="1">AVERAGE(OFFSET($R$3,0,0,'Données projet'!$E$9+1,1))-AVERAGE(OFFSET($H$3,0,0,'Données projet'!$E$9+1,1))</f>
        <v>285.16422150773082</v>
      </c>
      <c r="T15" s="62">
        <f t="shared" si="34"/>
        <v>448.96462312238845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321.15620406350808</v>
      </c>
      <c r="AN15" s="62">
        <f ca="1">AVERAGE(OFFSET($AM$3,0,0,'Données projet'!$E$10+1,1))-AVERAGE(OFFSET($H$3,0,0,'Données projet'!$E$10+1,1))</f>
        <v>384.44848355636935</v>
      </c>
      <c r="AO15" s="62">
        <f t="shared" si="36"/>
        <v>203.5274665601915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14.919098996724562</v>
      </c>
      <c r="BF15" s="14">
        <f t="shared" si="37"/>
        <v>5.019622097301081</v>
      </c>
      <c r="BG15" s="22">
        <f t="shared" si="7"/>
        <v>34.726605905427995</v>
      </c>
      <c r="BH15" s="62">
        <f t="shared" si="8"/>
        <v>328.05993923876133</v>
      </c>
      <c r="BI15" s="62">
        <f ca="1">AVERAGE(OFFSET($BH$3,0,0,'Données projet'!$E$11+1,1))-AVERAGE(OFFSET($H$3,0,0,'Données projet'!$E$11+1,1))</f>
        <v>220.70608186257931</v>
      </c>
      <c r="BJ15" s="62">
        <f t="shared" si="38"/>
        <v>208.79744153433245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10.897435897435896</v>
      </c>
      <c r="BY15" s="13">
        <f>IF('Données projet'!$A$114&gt;35,BY14+BX15-CG14,IF(A15&lt;'Données projet'!$A$114,$BV$205^A15,IF(A15='Données projet'!$A$114,'Données projet'!$B$114,BY14+BX15-CG14)))</f>
        <v>67.948717948717942</v>
      </c>
      <c r="BZ15" s="14">
        <f>BY15*VLOOKUP('Données projet'!$B$12,Paramètres!$A$1:$I$89,3,0)*VLOOKUP('Données projet'!$B$12,Paramètres!$A$1:$I$89,5,0)</f>
        <v>45.58</v>
      </c>
      <c r="CA15" s="14">
        <f t="shared" si="39"/>
        <v>13.466199827793883</v>
      </c>
      <c r="CB15" s="22">
        <f t="shared" si="10"/>
        <v>102.83879803340767</v>
      </c>
      <c r="CC15" s="62">
        <f t="shared" si="11"/>
        <v>396.17213136674098</v>
      </c>
      <c r="CD15" s="62">
        <f ca="1">AVERAGE(OFFSET($CC$3,0,0,'Données projet'!$E$12+1,1))-AVERAGE(OFFSET($H$3,0,0,'Données projet'!$E$12+1,1))</f>
        <v>310.47303518828346</v>
      </c>
      <c r="CE15" s="62">
        <f t="shared" si="40"/>
        <v>247.30353382335278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7.1333333333333337</v>
      </c>
      <c r="N16" s="14">
        <f>IF('Données projet'!$A$36&gt;35,N15+M16-V15,IF(A16&lt;'Données projet'!$A$36,$K$205^A16,IF(A16='Données projet'!$A$36,'Données projet'!$B$36,N15+M16-V15)))</f>
        <v>57.385117337200782</v>
      </c>
      <c r="O16" s="14">
        <f>N16*VLOOKUP('Données projet'!$B$9,Paramètres!$A$1:$I$89,3,0)*VLOOKUP('Données projet'!$B$9,Paramètres!$A$1:$I$89,5,0)</f>
        <v>50.131638505778611</v>
      </c>
      <c r="P16" s="14">
        <f t="shared" si="33"/>
        <v>14.647750677567194</v>
      </c>
      <c r="Q16" s="22">
        <f t="shared" si="2"/>
        <v>112.82410282766058</v>
      </c>
      <c r="R16" s="62">
        <f t="shared" si="0"/>
        <v>406.15743616099388</v>
      </c>
      <c r="S16" s="62">
        <f ca="1">AVERAGE(OFFSET($R$3,0,0,'Données projet'!$E$9+1,1))-AVERAGE(OFFSET($H$3,0,0,'Données projet'!$E$9+1,1))</f>
        <v>285.16422150773082</v>
      </c>
      <c r="T16" s="62">
        <f t="shared" si="34"/>
        <v>448.96462312238845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327.59504121177019</v>
      </c>
      <c r="AN16" s="62">
        <f ca="1">AVERAGE(OFFSET($AM$3,0,0,'Données projet'!$E$10+1,1))-AVERAGE(OFFSET($H$3,0,0,'Données projet'!$E$10+1,1))</f>
        <v>384.44848355636935</v>
      </c>
      <c r="AO16" s="62">
        <f t="shared" si="36"/>
        <v>203.5274665601915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19.078604061215994</v>
      </c>
      <c r="BF16" s="14">
        <f t="shared" si="37"/>
        <v>6.2379664748280286</v>
      </c>
      <c r="BG16" s="22">
        <f t="shared" si="7"/>
        <v>44.093027016943331</v>
      </c>
      <c r="BH16" s="62">
        <f t="shared" si="8"/>
        <v>337.42636035027664</v>
      </c>
      <c r="BI16" s="62">
        <f ca="1">AVERAGE(OFFSET($BH$3,0,0,'Données projet'!$E$11+1,1))-AVERAGE(OFFSET($H$3,0,0,'Données projet'!$E$11+1,1))</f>
        <v>220.70608186257931</v>
      </c>
      <c r="BJ16" s="62">
        <f t="shared" si="38"/>
        <v>208.79744153433245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10.897435897435896</v>
      </c>
      <c r="BY16" s="13">
        <f>IF('Données projet'!$A$114&gt;35,BY15+BX16-CG15,IF(A16&lt;'Données projet'!$A$114,$BV$205^A16,IF(A16='Données projet'!$A$114,'Données projet'!$B$114,BY15+BX16-CG15)))</f>
        <v>78.84615384615384</v>
      </c>
      <c r="BZ16" s="14">
        <f>BY16*VLOOKUP('Données projet'!$B$12,Paramètres!$A$1:$I$89,3,0)*VLOOKUP('Données projet'!$B$12,Paramètres!$A$1:$I$89,5,0)</f>
        <v>52.89</v>
      </c>
      <c r="CA16" s="14">
        <f t="shared" si="39"/>
        <v>15.357656466675607</v>
      </c>
      <c r="CB16" s="22">
        <f t="shared" si="10"/>
        <v>118.86466834612668</v>
      </c>
      <c r="CC16" s="62">
        <f t="shared" si="11"/>
        <v>412.19800167945999</v>
      </c>
      <c r="CD16" s="62">
        <f ca="1">AVERAGE(OFFSET($CC$3,0,0,'Données projet'!$E$12+1,1))-AVERAGE(OFFSET($H$3,0,0,'Données projet'!$E$12+1,1))</f>
        <v>310.47303518828346</v>
      </c>
      <c r="CE16" s="62">
        <f t="shared" si="40"/>
        <v>247.30353382335278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7.1333333333333337</v>
      </c>
      <c r="N17" s="14">
        <f>IF('Données projet'!$A$36&gt;35,N16+M17-V16,IF(A17&lt;'Données projet'!$A$36,$K$205^A17,IF(A17='Données projet'!$A$36,'Données projet'!$B$36,N16+M17-V16)))</f>
        <v>78.35947648549265</v>
      </c>
      <c r="O17" s="14">
        <f>N17*VLOOKUP('Données projet'!$B$9,Paramètres!$A$1:$I$89,3,0)*VLOOKUP('Données projet'!$B$9,Paramètres!$A$1:$I$89,5,0)</f>
        <v>68.454838657726384</v>
      </c>
      <c r="P17" s="14">
        <f t="shared" si="33"/>
        <v>19.289242495261615</v>
      </c>
      <c r="Q17" s="22">
        <f t="shared" si="2"/>
        <v>152.8209413414541</v>
      </c>
      <c r="R17" s="62">
        <f t="shared" si="0"/>
        <v>446.15427467478742</v>
      </c>
      <c r="S17" s="62">
        <f ca="1">AVERAGE(OFFSET($R$3,0,0,'Données projet'!$E$9+1,1))-AVERAGE(OFFSET($H$3,0,0,'Données projet'!$E$9+1,1))</f>
        <v>285.16422150773082</v>
      </c>
      <c r="T17" s="62">
        <f t="shared" si="34"/>
        <v>448.96462312238845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335.52892963000164</v>
      </c>
      <c r="AN17" s="62">
        <f ca="1">AVERAGE(OFFSET($AM$3,0,0,'Données projet'!$E$10+1,1))-AVERAGE(OFFSET($H$3,0,0,'Données projet'!$E$10+1,1))</f>
        <v>384.44848355636935</v>
      </c>
      <c r="AO17" s="62">
        <f t="shared" si="36"/>
        <v>203.5274665601915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24.397795939591308</v>
      </c>
      <c r="BF17" s="14">
        <f t="shared" si="37"/>
        <v>7.75202295846145</v>
      </c>
      <c r="BG17" s="22">
        <f t="shared" si="7"/>
        <v>55.994267914108548</v>
      </c>
      <c r="BH17" s="62">
        <f t="shared" si="8"/>
        <v>349.32760124744186</v>
      </c>
      <c r="BI17" s="62">
        <f ca="1">AVERAGE(OFFSET($BH$3,0,0,'Données projet'!$E$11+1,1))-AVERAGE(OFFSET($H$3,0,0,'Données projet'!$E$11+1,1))</f>
        <v>220.70608186257931</v>
      </c>
      <c r="BJ17" s="62">
        <f t="shared" si="38"/>
        <v>208.79744153433245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10.897435897435896</v>
      </c>
      <c r="BY17" s="13">
        <f>IF('Données projet'!$A$114&gt;35,BY16+BX17-CG16,IF(A17&lt;'Données projet'!$A$114,$BV$205^A17,IF(A17='Données projet'!$A$114,'Données projet'!$B$114,BY16+BX17-CG16)))</f>
        <v>89.743589743589737</v>
      </c>
      <c r="BZ17" s="14">
        <f>BY17*VLOOKUP('Données projet'!$B$12,Paramètres!$A$1:$I$89,3,0)*VLOOKUP('Données projet'!$B$12,Paramètres!$A$1:$I$89,5,0)</f>
        <v>60.199999999999996</v>
      </c>
      <c r="CA17" s="14">
        <f t="shared" si="39"/>
        <v>17.21882548978526</v>
      </c>
      <c r="CB17" s="22">
        <f t="shared" si="10"/>
        <v>134.83778772804266</v>
      </c>
      <c r="CC17" s="62">
        <f t="shared" si="11"/>
        <v>428.17112106137597</v>
      </c>
      <c r="CD17" s="62">
        <f ca="1">AVERAGE(OFFSET($CC$3,0,0,'Données projet'!$E$12+1,1))-AVERAGE(OFFSET($H$3,0,0,'Données projet'!$E$12+1,1))</f>
        <v>310.47303518828346</v>
      </c>
      <c r="CE17" s="62">
        <f t="shared" si="40"/>
        <v>247.30353382335278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107</v>
      </c>
      <c r="L18" s="13">
        <f>VLOOKUP(A18,'Données projet'!$A$35:$I$55,9,0)</f>
        <v>7.1333333333333337</v>
      </c>
      <c r="M18" s="13">
        <f t="array" ref="M18">INDEX(L:L,MIN(IF(ISNUMBER(L18:L214),ROW(L18:L214),"")))</f>
        <v>7.1333333333333337</v>
      </c>
      <c r="N18" s="14">
        <f>IF('Données projet'!$A$36&gt;35,N17+M18-V17,IF(A18&lt;'Données projet'!$A$36,$K$205^A18,IF(A18='Données projet'!$A$36,'Données projet'!$B$36,N17+M18-V17)))</f>
        <v>107</v>
      </c>
      <c r="O18" s="14">
        <f>N18*VLOOKUP('Données projet'!$B$9,Paramètres!$A$1:$I$89,3,0)*VLOOKUP('Données projet'!$B$9,Paramètres!$A$1:$I$89,5,0)</f>
        <v>93.475200000000015</v>
      </c>
      <c r="P18" s="14">
        <f t="shared" si="33"/>
        <v>25.401502539965662</v>
      </c>
      <c r="Q18" s="22">
        <f t="shared" si="2"/>
        <v>207.04359025710687</v>
      </c>
      <c r="R18" s="62">
        <f t="shared" si="0"/>
        <v>500.37692359044019</v>
      </c>
      <c r="S18" s="62">
        <f ca="1">AVERAGE(OFFSET($R$3,0,0,'Données projet'!$E$9+1,1))-AVERAGE(OFFSET($H$3,0,0,'Données projet'!$E$9+1,1))</f>
        <v>285.16422150773082</v>
      </c>
      <c r="T18" s="62">
        <f t="shared" si="34"/>
        <v>448.96462312238845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345.30607962204783</v>
      </c>
      <c r="AN18" s="62">
        <f ca="1">AVERAGE(OFFSET($AM$3,0,0,'Données projet'!$E$10+1,1))-AVERAGE(OFFSET($H$3,0,0,'Données projet'!$E$10+1,1))</f>
        <v>384.44848355636935</v>
      </c>
      <c r="AO18" s="62">
        <f t="shared" si="36"/>
        <v>203.5274665601915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31.200000000000003</v>
      </c>
      <c r="BF18" s="14">
        <f t="shared" si="37"/>
        <v>9.6335657126419925</v>
      </c>
      <c r="BG18" s="22">
        <f t="shared" si="7"/>
        <v>71.118460282851473</v>
      </c>
      <c r="BH18" s="62">
        <f t="shared" si="8"/>
        <v>364.45179361618477</v>
      </c>
      <c r="BI18" s="62">
        <f ca="1">AVERAGE(OFFSET($BH$3,0,0,'Données projet'!$E$11+1,1))-AVERAGE(OFFSET($H$3,0,0,'Données projet'!$E$11+1,1))</f>
        <v>220.70608186257931</v>
      </c>
      <c r="BJ18" s="62">
        <f t="shared" si="38"/>
        <v>208.79744153433245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100.64102564102564</v>
      </c>
      <c r="BW18" s="13">
        <f>VLOOKUP(A18,'Données projet'!$A$113:$I$133,9,0)</f>
        <v>10.897435897435896</v>
      </c>
      <c r="BX18" s="13">
        <f t="array" ref="BX18">INDEX(BW:BW,MIN(IF(ISNUMBER(BW18:BW214),ROW(BW18:BW214),"")))</f>
        <v>10.897435897435896</v>
      </c>
      <c r="BY18" s="13">
        <f>IF('Données projet'!$A$114&gt;35,BY17+BX18-CG17,IF(A18&lt;'Données projet'!$A$114,$BV$205^A18,IF(A18='Données projet'!$A$114,'Données projet'!$B$114,BY17+BX18-CG17)))</f>
        <v>100.64102564102564</v>
      </c>
      <c r="BZ18" s="14">
        <f>BY18*VLOOKUP('Données projet'!$B$12,Paramètres!$A$1:$I$89,3,0)*VLOOKUP('Données projet'!$B$12,Paramètres!$A$1:$I$89,5,0)</f>
        <v>67.509999999999991</v>
      </c>
      <c r="CA18" s="14">
        <f t="shared" si="39"/>
        <v>19.053805387418848</v>
      </c>
      <c r="CB18" s="22">
        <f t="shared" si="10"/>
        <v>150.76529438308779</v>
      </c>
      <c r="CC18" s="62">
        <f t="shared" si="11"/>
        <v>444.09862771642111</v>
      </c>
      <c r="CD18" s="62">
        <f ca="1">AVERAGE(OFFSET($CC$3,0,0,'Données projet'!$E$12+1,1))-AVERAGE(OFFSET($H$3,0,0,'Données projet'!$E$12+1,1))</f>
        <v>310.47303518828346</v>
      </c>
      <c r="CE18" s="62">
        <f t="shared" si="40"/>
        <v>247.30353382335278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27.564102564102562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16.2</v>
      </c>
      <c r="N19" s="14">
        <f>IF('Données projet'!$A$36&gt;35,N18+M19-V18,IF(A19&lt;'Données projet'!$A$36,$K$205^A19,IF(A19='Données projet'!$A$36,'Données projet'!$B$36,N18+M19-V18)))</f>
        <v>123.2</v>
      </c>
      <c r="O19" s="14">
        <f>N19*VLOOKUP('Données projet'!$B$9,Paramètres!$A$1:$I$89,3,0)*VLOOKUP('Données projet'!$B$9,Paramètres!$A$1:$I$89,5,0)</f>
        <v>107.62752</v>
      </c>
      <c r="P19" s="14">
        <f t="shared" si="33"/>
        <v>28.771302425776422</v>
      </c>
      <c r="Q19" s="22">
        <f t="shared" si="2"/>
        <v>237.56128239156058</v>
      </c>
      <c r="R19" s="62">
        <f t="shared" si="0"/>
        <v>530.89461572489392</v>
      </c>
      <c r="S19" s="62">
        <f ca="1">AVERAGE(OFFSET($R$3,0,0,'Données projet'!$E$9+1,1))-AVERAGE(OFFSET($H$3,0,0,'Données projet'!$E$9+1,1))</f>
        <v>285.16422150773082</v>
      </c>
      <c r="T19" s="62">
        <f t="shared" si="34"/>
        <v>448.96462312238845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357.3560328458579</v>
      </c>
      <c r="AN19" s="62">
        <f ca="1">AVERAGE(OFFSET($AM$3,0,0,'Données projet'!$E$10+1,1))-AVERAGE(OFFSET($H$3,0,0,'Données projet'!$E$10+1,1))</f>
        <v>384.44848355636935</v>
      </c>
      <c r="AO19" s="62">
        <f t="shared" si="36"/>
        <v>203.5274665601915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49.6</v>
      </c>
      <c r="BE19" s="14">
        <f>BD19*VLOOKUP('Données projet'!$B$11,Paramètres!$A$1:$I$89,3,0)*VLOOKUP('Données projet'!$B$11,Paramètres!$A$1:$I$89,5,0)</f>
        <v>38.688000000000002</v>
      </c>
      <c r="BF19" s="14">
        <f t="shared" si="37"/>
        <v>11.650229083154354</v>
      </c>
      <c r="BG19" s="22">
        <f t="shared" si="7"/>
        <v>87.672415653160499</v>
      </c>
      <c r="BH19" s="62">
        <f t="shared" si="8"/>
        <v>381.00574898649381</v>
      </c>
      <c r="BI19" s="62">
        <f ca="1">AVERAGE(OFFSET($BH$3,0,0,'Données projet'!$E$11+1,1))-AVERAGE(OFFSET($H$3,0,0,'Données projet'!$E$11+1,1))</f>
        <v>220.70608186257931</v>
      </c>
      <c r="BJ19" s="62">
        <f t="shared" si="38"/>
        <v>208.79744153433245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11.538461538461542</v>
      </c>
      <c r="BY19" s="13">
        <f>IF('Données projet'!$A$114&gt;35,BY18+BX19-CG18,IF(A19&lt;'Données projet'!$A$114,$BV$205^A19,IF(A19='Données projet'!$A$114,'Données projet'!$B$114,BY18+BX19-CG18)))</f>
        <v>84.615384615384613</v>
      </c>
      <c r="BZ19" s="14">
        <f>BY19*VLOOKUP('Données projet'!$B$12,Paramètres!$A$1:$I$89,3,0)*VLOOKUP('Données projet'!$B$12,Paramètres!$A$1:$I$89,5,0)</f>
        <v>56.759999999999991</v>
      </c>
      <c r="CA19" s="14">
        <f t="shared" si="39"/>
        <v>16.346467593680529</v>
      </c>
      <c r="CB19" s="22">
        <f t="shared" si="10"/>
        <v>127.32709772566022</v>
      </c>
      <c r="CC19" s="62">
        <f t="shared" si="11"/>
        <v>420.66043105899354</v>
      </c>
      <c r="CD19" s="62">
        <f ca="1">AVERAGE(OFFSET($CC$3,0,0,'Données projet'!$E$12+1,1))-AVERAGE(OFFSET($H$3,0,0,'Données projet'!$E$12+1,1))</f>
        <v>310.47303518828346</v>
      </c>
      <c r="CE19" s="62">
        <f t="shared" si="40"/>
        <v>247.30353382335278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16.2</v>
      </c>
      <c r="N20" s="14">
        <f>IF('Données projet'!$A$36&gt;35,N19+M20-V19,IF(A20&lt;'Données projet'!$A$36,$K$205^A20,IF(A20='Données projet'!$A$36,'Données projet'!$B$36,N19+M20-V19)))</f>
        <v>139.4</v>
      </c>
      <c r="O20" s="14">
        <f>N20*VLOOKUP('Données projet'!$B$9,Paramètres!$A$1:$I$89,3,0)*VLOOKUP('Données projet'!$B$9,Paramètres!$A$1:$I$89,5,0)</f>
        <v>121.77984000000002</v>
      </c>
      <c r="P20" s="14">
        <f t="shared" si="33"/>
        <v>32.089761368755184</v>
      </c>
      <c r="Q20" s="22">
        <f t="shared" si="2"/>
        <v>267.98955571724866</v>
      </c>
      <c r="R20" s="62">
        <f t="shared" si="0"/>
        <v>561.32288905058203</v>
      </c>
      <c r="S20" s="62">
        <f ca="1">AVERAGE(OFFSET($R$3,0,0,'Données projet'!$E$9+1,1))-AVERAGE(OFFSET($H$3,0,0,'Données projet'!$E$9+1,1))</f>
        <v>285.16422150773082</v>
      </c>
      <c r="T20" s="62">
        <f t="shared" si="34"/>
        <v>448.96462312238845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372.20870820074703</v>
      </c>
      <c r="AN20" s="62">
        <f ca="1">AVERAGE(OFFSET($AM$3,0,0,'Données projet'!$E$10+1,1))-AVERAGE(OFFSET($H$3,0,0,'Données projet'!$E$10+1,1))</f>
        <v>384.44848355636935</v>
      </c>
      <c r="AO20" s="62">
        <f t="shared" si="36"/>
        <v>203.5274665601915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59.2</v>
      </c>
      <c r="BE20" s="14">
        <f>BD20*VLOOKUP('Données projet'!$B$11,Paramètres!$A$1:$I$89,3,0)*VLOOKUP('Données projet'!$B$11,Paramètres!$A$1:$I$89,5,0)</f>
        <v>46.176000000000002</v>
      </c>
      <c r="BF20" s="14">
        <f t="shared" si="37"/>
        <v>13.621668778540489</v>
      </c>
      <c r="BG20" s="22">
        <f t="shared" si="7"/>
        <v>104.14760645595801</v>
      </c>
      <c r="BH20" s="62">
        <f t="shared" si="8"/>
        <v>397.48093978929131</v>
      </c>
      <c r="BI20" s="62">
        <f ca="1">AVERAGE(OFFSET($BH$3,0,0,'Données projet'!$E$11+1,1))-AVERAGE(OFFSET($H$3,0,0,'Données projet'!$E$11+1,1))</f>
        <v>220.70608186257931</v>
      </c>
      <c r="BJ20" s="62">
        <f t="shared" si="38"/>
        <v>208.79744153433245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11.538461538461542</v>
      </c>
      <c r="BY20" s="13">
        <f>IF('Données projet'!$A$114&gt;35,BY19+BX20-CG19,IF(A20&lt;'Données projet'!$A$114,$BV$205^A20,IF(A20='Données projet'!$A$114,'Données projet'!$B$114,BY19+BX20-CG19)))</f>
        <v>96.15384615384616</v>
      </c>
      <c r="BZ20" s="14">
        <f>BY20*VLOOKUP('Données projet'!$B$12,Paramètres!$A$1:$I$89,3,0)*VLOOKUP('Données projet'!$B$12,Paramètres!$A$1:$I$89,5,0)</f>
        <v>64.5</v>
      </c>
      <c r="CA20" s="14">
        <f t="shared" si="39"/>
        <v>18.301177311709043</v>
      </c>
      <c r="CB20" s="22">
        <f t="shared" si="10"/>
        <v>144.21205048455991</v>
      </c>
      <c r="CC20" s="62">
        <f t="shared" si="11"/>
        <v>437.54538381789325</v>
      </c>
      <c r="CD20" s="62">
        <f ca="1">AVERAGE(OFFSET($CC$3,0,0,'Données projet'!$E$12+1,1))-AVERAGE(OFFSET($H$3,0,0,'Données projet'!$E$12+1,1))</f>
        <v>310.47303518828346</v>
      </c>
      <c r="CE20" s="62">
        <f t="shared" si="40"/>
        <v>247.30353382335278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16.2</v>
      </c>
      <c r="N21" s="14">
        <f>IF('Données projet'!$A$36&gt;35,N20+M21-V20,IF(A21&lt;'Données projet'!$A$36,$K$205^A21,IF(A21='Données projet'!$A$36,'Données projet'!$B$36,N20+M21-V20)))</f>
        <v>155.6</v>
      </c>
      <c r="O21" s="14">
        <f>N21*VLOOKUP('Données projet'!$B$9,Paramètres!$A$1:$I$89,3,0)*VLOOKUP('Données projet'!$B$9,Paramètres!$A$1:$I$89,5,0)</f>
        <v>135.93216000000001</v>
      </c>
      <c r="P21" s="14">
        <f t="shared" si="33"/>
        <v>35.36352729450968</v>
      </c>
      <c r="Q21" s="22">
        <f t="shared" si="2"/>
        <v>298.33998870460437</v>
      </c>
      <c r="R21" s="62">
        <f t="shared" si="0"/>
        <v>591.67332203793762</v>
      </c>
      <c r="S21" s="62">
        <f ca="1">AVERAGE(OFFSET($R$3,0,0,'Données projet'!$E$9+1,1))-AVERAGE(OFFSET($H$3,0,0,'Données projet'!$E$9+1,1))</f>
        <v>285.16422150773082</v>
      </c>
      <c r="T21" s="62">
        <f t="shared" si="34"/>
        <v>448.96462312238845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390.51791836449235</v>
      </c>
      <c r="AN21" s="62">
        <f ca="1">AVERAGE(OFFSET($AM$3,0,0,'Données projet'!$E$10+1,1))-AVERAGE(OFFSET($H$3,0,0,'Données projet'!$E$10+1,1))</f>
        <v>384.44848355636935</v>
      </c>
      <c r="AO21" s="62">
        <f t="shared" si="36"/>
        <v>203.5274665601915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68.8</v>
      </c>
      <c r="BE21" s="14">
        <f>BD21*VLOOKUP('Données projet'!$B$11,Paramètres!$A$1:$I$89,3,0)*VLOOKUP('Données projet'!$B$11,Paramètres!$A$1:$I$89,5,0)</f>
        <v>53.664000000000001</v>
      </c>
      <c r="BF21" s="14">
        <f t="shared" si="37"/>
        <v>15.556073979202782</v>
      </c>
      <c r="BG21" s="22">
        <f t="shared" si="7"/>
        <v>120.55829551377816</v>
      </c>
      <c r="BH21" s="62">
        <f t="shared" si="8"/>
        <v>413.89162884711146</v>
      </c>
      <c r="BI21" s="62">
        <f ca="1">AVERAGE(OFFSET($BH$3,0,0,'Données projet'!$E$11+1,1))-AVERAGE(OFFSET($H$3,0,0,'Données projet'!$E$11+1,1))</f>
        <v>220.70608186257931</v>
      </c>
      <c r="BJ21" s="62">
        <f t="shared" si="38"/>
        <v>208.79744153433245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11.538461538461542</v>
      </c>
      <c r="BY21" s="13">
        <f>IF('Données projet'!$A$114&gt;35,BY20+BX21-CG20,IF(A21&lt;'Données projet'!$A$114,$BV$205^A21,IF(A21='Données projet'!$A$114,'Données projet'!$B$114,BY20+BX21-CG20)))</f>
        <v>107.69230769230771</v>
      </c>
      <c r="BZ21" s="14">
        <f>BY21*VLOOKUP('Données projet'!$B$12,Paramètres!$A$1:$I$89,3,0)*VLOOKUP('Données projet'!$B$12,Paramètres!$A$1:$I$89,5,0)</f>
        <v>72.240000000000009</v>
      </c>
      <c r="CA21" s="14">
        <f t="shared" si="39"/>
        <v>20.228704652038434</v>
      </c>
      <c r="CB21" s="22">
        <f t="shared" si="10"/>
        <v>161.04966060230029</v>
      </c>
      <c r="CC21" s="62">
        <f t="shared" si="11"/>
        <v>454.38299393563364</v>
      </c>
      <c r="CD21" s="62">
        <f ca="1">AVERAGE(OFFSET($CC$3,0,0,'Données projet'!$E$12+1,1))-AVERAGE(OFFSET($H$3,0,0,'Données projet'!$E$12+1,1))</f>
        <v>310.47303518828346</v>
      </c>
      <c r="CE21" s="62">
        <f t="shared" si="40"/>
        <v>247.30353382335278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16.2</v>
      </c>
      <c r="N22" s="14">
        <f>IF('Données projet'!$A$36&gt;35,N21+M22-V21,IF(A22&lt;'Données projet'!$A$36,$K$205^A22,IF(A22='Données projet'!$A$36,'Données projet'!$B$36,N21+M22-V21)))</f>
        <v>171.79999999999998</v>
      </c>
      <c r="O22" s="14">
        <f>N22*VLOOKUP('Données projet'!$B$9,Paramètres!$A$1:$I$89,3,0)*VLOOKUP('Données projet'!$B$9,Paramètres!$A$1:$I$89,5,0)</f>
        <v>150.08448000000001</v>
      </c>
      <c r="P22" s="14">
        <f t="shared" si="33"/>
        <v>38.597783374841299</v>
      </c>
      <c r="Q22" s="22">
        <f t="shared" si="2"/>
        <v>328.62160871118198</v>
      </c>
      <c r="R22" s="62">
        <f t="shared" si="0"/>
        <v>621.95494204451529</v>
      </c>
      <c r="S22" s="62">
        <f ca="1">AVERAGE(OFFSET($R$3,0,0,'Données projet'!$E$9+1,1))-AVERAGE(OFFSET($H$3,0,0,'Données projet'!$E$9+1,1))</f>
        <v>285.16422150773082</v>
      </c>
      <c r="T22" s="62">
        <f t="shared" si="34"/>
        <v>448.96462312238845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413.0904086280766</v>
      </c>
      <c r="AN22" s="62">
        <f ca="1">AVERAGE(OFFSET($AM$3,0,0,'Données projet'!$E$10+1,1))-AVERAGE(OFFSET($H$3,0,0,'Données projet'!$E$10+1,1))</f>
        <v>384.44848355636935</v>
      </c>
      <c r="AO22" s="62">
        <f t="shared" si="36"/>
        <v>203.5274665601915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78.399999999999991</v>
      </c>
      <c r="BE22" s="14">
        <f>BD22*VLOOKUP('Données projet'!$B$11,Paramètres!$A$1:$I$89,3,0)*VLOOKUP('Données projet'!$B$11,Paramètres!$A$1:$I$89,5,0)</f>
        <v>61.151999999999994</v>
      </c>
      <c r="BF22" s="14">
        <f t="shared" si="37"/>
        <v>17.459207591071255</v>
      </c>
      <c r="BG22" s="22">
        <f t="shared" si="7"/>
        <v>136.9145198877824</v>
      </c>
      <c r="BH22" s="62">
        <f t="shared" si="8"/>
        <v>430.24785322111575</v>
      </c>
      <c r="BI22" s="62">
        <f ca="1">AVERAGE(OFFSET($BH$3,0,0,'Données projet'!$E$11+1,1))-AVERAGE(OFFSET($H$3,0,0,'Données projet'!$E$11+1,1))</f>
        <v>220.70608186257931</v>
      </c>
      <c r="BJ22" s="62">
        <f t="shared" si="38"/>
        <v>208.79744153433245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11.538461538461542</v>
      </c>
      <c r="BY22" s="13">
        <f>IF('Données projet'!$A$114&gt;35,BY21+BX22-CG21,IF(A22&lt;'Données projet'!$A$114,$BV$205^A22,IF(A22='Données projet'!$A$114,'Données projet'!$B$114,BY21+BX22-CG21)))</f>
        <v>119.23076923076925</v>
      </c>
      <c r="BZ22" s="14">
        <f>BY22*VLOOKUP('Données projet'!$B$12,Paramètres!$A$1:$I$89,3,0)*VLOOKUP('Données projet'!$B$12,Paramètres!$A$1:$I$89,5,0)</f>
        <v>79.980000000000018</v>
      </c>
      <c r="CA22" s="14">
        <f t="shared" si="39"/>
        <v>22.1322939535297</v>
      </c>
      <c r="CB22" s="22">
        <f t="shared" si="10"/>
        <v>177.84557863573093</v>
      </c>
      <c r="CC22" s="62">
        <f t="shared" si="11"/>
        <v>471.17891196906425</v>
      </c>
      <c r="CD22" s="62">
        <f ca="1">AVERAGE(OFFSET($CC$3,0,0,'Données projet'!$E$12+1,1))-AVERAGE(OFFSET($H$3,0,0,'Données projet'!$E$12+1,1))</f>
        <v>310.47303518828346</v>
      </c>
      <c r="CE22" s="62">
        <f t="shared" si="40"/>
        <v>247.30353382335278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188</v>
      </c>
      <c r="L23" s="13">
        <f>VLOOKUP(A23,'Données projet'!$A$35:$I$55,9,0)</f>
        <v>16.2</v>
      </c>
      <c r="M23" s="13">
        <f t="array" ref="M23">INDEX(L:L,MIN(IF(ISNUMBER(L23:L219),ROW(L23:L219),"")))</f>
        <v>16.2</v>
      </c>
      <c r="N23" s="14">
        <f>IF('Données projet'!$A$36&gt;35,N22+M23-V22,IF(A23&lt;'Données projet'!$A$36,$K$205^A23,IF(A23='Données projet'!$A$36,'Données projet'!$B$36,N22+M23-V22)))</f>
        <v>187.99999999999997</v>
      </c>
      <c r="O23" s="14">
        <f>N23*VLOOKUP('Données projet'!$B$9,Paramètres!$A$1:$I$89,3,0)*VLOOKUP('Données projet'!$B$9,Paramètres!$A$1:$I$89,5,0)</f>
        <v>164.23680000000002</v>
      </c>
      <c r="P23" s="14">
        <f t="shared" si="33"/>
        <v>41.796679041964353</v>
      </c>
      <c r="Q23" s="22">
        <f t="shared" si="2"/>
        <v>358.84164266475454</v>
      </c>
      <c r="R23" s="62">
        <f t="shared" si="0"/>
        <v>652.1749759980878</v>
      </c>
      <c r="S23" s="62">
        <f ca="1">AVERAGE(OFFSET($R$3,0,0,'Données projet'!$E$9+1,1))-AVERAGE(OFFSET($H$3,0,0,'Données projet'!$E$9+1,1))</f>
        <v>285.16422150773082</v>
      </c>
      <c r="T23" s="62">
        <f t="shared" si="34"/>
        <v>448.96462312238845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84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440.92171753768048</v>
      </c>
      <c r="AN23" s="62">
        <f ca="1">AVERAGE(OFFSET($AM$3,0,0,'Données projet'!$E$10+1,1))-AVERAGE(OFFSET($H$3,0,0,'Données projet'!$E$10+1,1))</f>
        <v>384.44848355636935</v>
      </c>
      <c r="AO23" s="62">
        <f t="shared" si="36"/>
        <v>203.5274665601915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88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87.999999999999986</v>
      </c>
      <c r="BE23" s="14">
        <f>BD23*VLOOKUP('Données projet'!$B$11,Paramètres!$A$1:$I$89,3,0)*VLOOKUP('Données projet'!$B$11,Paramètres!$A$1:$I$89,5,0)</f>
        <v>68.639999999999986</v>
      </c>
      <c r="BF23" s="14">
        <f t="shared" si="37"/>
        <v>19.335336956640202</v>
      </c>
      <c r="BG23" s="22">
        <f t="shared" si="7"/>
        <v>153.22371186614834</v>
      </c>
      <c r="BH23" s="62">
        <f t="shared" si="8"/>
        <v>446.55704519948165</v>
      </c>
      <c r="BI23" s="62">
        <f ca="1">AVERAGE(OFFSET($BH$3,0,0,'Données projet'!$E$11+1,1))-AVERAGE(OFFSET($H$3,0,0,'Données projet'!$E$11+1,1))</f>
        <v>220.70608186257931</v>
      </c>
      <c r="BJ23" s="62">
        <f t="shared" si="38"/>
        <v>208.79744153433245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130.76923076923077</v>
      </c>
      <c r="BW23" s="13">
        <f>VLOOKUP(A23,'Données projet'!$A$113:$I$133,9,0)</f>
        <v>11.538461538461542</v>
      </c>
      <c r="BX23" s="13">
        <f t="array" ref="BX23">INDEX(BW:BW,MIN(IF(ISNUMBER(BW23:BW219),ROW(BW23:BW219),"")))</f>
        <v>11.538461538461542</v>
      </c>
      <c r="BY23" s="13">
        <f>IF('Données projet'!$A$114&gt;35,BY22+BX23-CG22,IF(A23&lt;'Données projet'!$A$114,$BV$205^A23,IF(A23='Données projet'!$A$114,'Données projet'!$B$114,BY22+BX23-CG22)))</f>
        <v>130.7692307692308</v>
      </c>
      <c r="BZ23" s="14">
        <f>BY23*VLOOKUP('Données projet'!$B$12,Paramètres!$A$1:$I$89,3,0)*VLOOKUP('Données projet'!$B$12,Paramètres!$A$1:$I$89,5,0)</f>
        <v>87.720000000000013</v>
      </c>
      <c r="CA23" s="14">
        <f t="shared" si="39"/>
        <v>24.014525404210836</v>
      </c>
      <c r="CB23" s="22">
        <f t="shared" si="10"/>
        <v>194.60429841233386</v>
      </c>
      <c r="CC23" s="62">
        <f t="shared" si="11"/>
        <v>487.9376317456672</v>
      </c>
      <c r="CD23" s="62">
        <f ca="1">AVERAGE(OFFSET($CC$3,0,0,'Données projet'!$E$12+1,1))-AVERAGE(OFFSET($H$3,0,0,'Données projet'!$E$12+1,1))</f>
        <v>310.47303518828346</v>
      </c>
      <c r="CE23" s="62">
        <f t="shared" si="40"/>
        <v>247.30353382335278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15.8</v>
      </c>
      <c r="N24" s="14">
        <f>IF('Données projet'!$A$36&gt;35,N23+M24-V23,IF(A24&lt;'Données projet'!$A$36,$K$205^A24,IF(A24='Données projet'!$A$36,'Données projet'!$B$36,N23+M24-V23)))</f>
        <v>119.79999999999998</v>
      </c>
      <c r="O24" s="14">
        <f>N24*VLOOKUP('Données projet'!$B$9,Paramètres!$A$1:$I$89,3,0)*VLOOKUP('Données projet'!$B$9,Paramètres!$A$1:$I$89,5,0)</f>
        <v>104.65728</v>
      </c>
      <c r="P24" s="14">
        <f t="shared" si="33"/>
        <v>28.068573730915457</v>
      </c>
      <c r="Q24" s="22">
        <f t="shared" si="2"/>
        <v>231.16419524801108</v>
      </c>
      <c r="R24" s="62">
        <f t="shared" si="0"/>
        <v>524.49752858134434</v>
      </c>
      <c r="S24" s="62">
        <f ca="1">AVERAGE(OFFSET($R$3,0,0,'Données projet'!$E$9+1,1))-AVERAGE(OFFSET($H$3,0,0,'Données projet'!$E$9+1,1))</f>
        <v>285.16422150773082</v>
      </c>
      <c r="T24" s="62">
        <f t="shared" si="34"/>
        <v>448.96462312238845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72.564959999999999</v>
      </c>
      <c r="AK24" s="14">
        <f t="shared" si="35"/>
        <v>20.30908732150932</v>
      </c>
      <c r="AL24" s="22">
        <f t="shared" si="4"/>
        <v>161.75563241829539</v>
      </c>
      <c r="AM24" s="62">
        <f t="shared" si="5"/>
        <v>455.08896575162873</v>
      </c>
      <c r="AN24" s="62">
        <f ca="1">AVERAGE(OFFSET($AM$3,0,0,'Données projet'!$E$10+1,1))-AVERAGE(OFFSET($H$3,0,0,'Données projet'!$E$10+1,1))</f>
        <v>384.44848355636935</v>
      </c>
      <c r="AO24" s="62">
        <f t="shared" si="36"/>
        <v>203.5274665601915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98.59999999999998</v>
      </c>
      <c r="BE24" s="14">
        <f>BD24*VLOOKUP('Données projet'!$B$11,Paramètres!$A$1:$I$89,3,0)*VLOOKUP('Données projet'!$B$11,Paramètres!$A$1:$I$89,5,0)</f>
        <v>76.907999999999987</v>
      </c>
      <c r="BF24" s="14">
        <f t="shared" si="37"/>
        <v>21.379448490435635</v>
      </c>
      <c r="BG24" s="22">
        <f t="shared" si="7"/>
        <v>171.18397278750868</v>
      </c>
      <c r="BH24" s="62">
        <f t="shared" si="8"/>
        <v>464.51730612084202</v>
      </c>
      <c r="BI24" s="62">
        <f ca="1">AVERAGE(OFFSET($BH$3,0,0,'Données projet'!$E$11+1,1))-AVERAGE(OFFSET($H$3,0,0,'Données projet'!$E$11+1,1))</f>
        <v>220.70608186257931</v>
      </c>
      <c r="BJ24" s="62">
        <f t="shared" si="38"/>
        <v>208.79744153433245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11.025641025641022</v>
      </c>
      <c r="BY24" s="13">
        <f>IF('Données projet'!$A$114&gt;35,BY23+BX24-CG23,IF(A24&lt;'Données projet'!$A$114,$BV$205^A24,IF(A24='Données projet'!$A$114,'Données projet'!$B$114,BY23+BX24-CG23)))</f>
        <v>141.79487179487182</v>
      </c>
      <c r="BZ24" s="14">
        <f>BY24*VLOOKUP('Données projet'!$B$12,Paramètres!$A$1:$I$89,3,0)*VLOOKUP('Données projet'!$B$12,Paramètres!$A$1:$I$89,5,0)</f>
        <v>95.116000000000028</v>
      </c>
      <c r="CA24" s="14">
        <f t="shared" si="39"/>
        <v>25.795082818908316</v>
      </c>
      <c r="CB24" s="22">
        <f t="shared" si="10"/>
        <v>210.58680257626534</v>
      </c>
      <c r="CC24" s="62">
        <f t="shared" si="11"/>
        <v>503.92013590959868</v>
      </c>
      <c r="CD24" s="62">
        <f ca="1">AVERAGE(OFFSET($CC$3,0,0,'Données projet'!$E$12+1,1))-AVERAGE(OFFSET($H$3,0,0,'Données projet'!$E$12+1,1))</f>
        <v>310.47303518828346</v>
      </c>
      <c r="CE24" s="62">
        <f t="shared" si="40"/>
        <v>247.30353382335278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15.8</v>
      </c>
      <c r="N25" s="14">
        <f>IF('Données projet'!$A$36&gt;35,N24+M25-V24,IF(A25&lt;'Données projet'!$A$36,$K$205^A25,IF(A25='Données projet'!$A$36,'Données projet'!$B$36,N24+M25-V24)))</f>
        <v>135.6</v>
      </c>
      <c r="O25" s="14">
        <f>N25*VLOOKUP('Données projet'!$B$9,Paramètres!$A$1:$I$89,3,0)*VLOOKUP('Données projet'!$B$9,Paramètres!$A$1:$I$89,5,0)</f>
        <v>118.46016000000002</v>
      </c>
      <c r="P25" s="14">
        <f t="shared" si="33"/>
        <v>31.315587396029674</v>
      </c>
      <c r="Q25" s="22">
        <f t="shared" si="2"/>
        <v>260.85942671475169</v>
      </c>
      <c r="R25" s="62">
        <f t="shared" si="0"/>
        <v>554.19276004808501</v>
      </c>
      <c r="S25" s="62">
        <f ca="1">AVERAGE(OFFSET($R$3,0,0,'Données projet'!$E$9+1,1))-AVERAGE(OFFSET($H$3,0,0,'Données projet'!$E$9+1,1))</f>
        <v>285.16422150773082</v>
      </c>
      <c r="T25" s="62">
        <f t="shared" si="34"/>
        <v>448.96462312238845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79.079520000000002</v>
      </c>
      <c r="AK25" s="14">
        <f t="shared" si="35"/>
        <v>21.911970621402002</v>
      </c>
      <c r="AL25" s="22">
        <f t="shared" si="4"/>
        <v>175.89351283227515</v>
      </c>
      <c r="AM25" s="62">
        <f t="shared" si="5"/>
        <v>469.22684616560844</v>
      </c>
      <c r="AN25" s="62">
        <f ca="1">AVERAGE(OFFSET($AM$3,0,0,'Données projet'!$E$10+1,1))-AVERAGE(OFFSET($H$3,0,0,'Données projet'!$E$10+1,1))</f>
        <v>384.44848355636935</v>
      </c>
      <c r="AO25" s="62">
        <f t="shared" si="36"/>
        <v>203.5274665601915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109.19999999999997</v>
      </c>
      <c r="BE25" s="14">
        <f>BD25*VLOOKUP('Données projet'!$B$11,Paramètres!$A$1:$I$89,3,0)*VLOOKUP('Données projet'!$B$11,Paramètres!$A$1:$I$89,5,0)</f>
        <v>85.175999999999988</v>
      </c>
      <c r="BF25" s="14">
        <f t="shared" si="37"/>
        <v>23.398088487656434</v>
      </c>
      <c r="BG25" s="22">
        <f t="shared" si="7"/>
        <v>189.09987078266826</v>
      </c>
      <c r="BH25" s="62">
        <f t="shared" si="8"/>
        <v>482.43320411600155</v>
      </c>
      <c r="BI25" s="62">
        <f ca="1">AVERAGE(OFFSET($BH$3,0,0,'Données projet'!$E$11+1,1))-AVERAGE(OFFSET($H$3,0,0,'Données projet'!$E$11+1,1))</f>
        <v>220.70608186257931</v>
      </c>
      <c r="BJ25" s="62">
        <f t="shared" si="38"/>
        <v>208.79744153433245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11.025641025641022</v>
      </c>
      <c r="BY25" s="13">
        <f>IF('Données projet'!$A$114&gt;35,BY24+BX25-CG24,IF(A25&lt;'Données projet'!$A$114,$BV$205^A25,IF(A25='Données projet'!$A$114,'Données projet'!$B$114,BY24+BX25-CG24)))</f>
        <v>152.82051282051285</v>
      </c>
      <c r="BZ25" s="14">
        <f>BY25*VLOOKUP('Données projet'!$B$12,Paramètres!$A$1:$I$89,3,0)*VLOOKUP('Données projet'!$B$12,Paramètres!$A$1:$I$89,5,0)</f>
        <v>102.51200000000003</v>
      </c>
      <c r="CA25" s="14">
        <f t="shared" si="39"/>
        <v>27.559580057072086</v>
      </c>
      <c r="CB25" s="22">
        <f t="shared" si="10"/>
        <v>226.54133526606725</v>
      </c>
      <c r="CC25" s="62">
        <f t="shared" si="11"/>
        <v>519.87466859940059</v>
      </c>
      <c r="CD25" s="62">
        <f ca="1">AVERAGE(OFFSET($CC$3,0,0,'Données projet'!$E$12+1,1))-AVERAGE(OFFSET($H$3,0,0,'Données projet'!$E$12+1,1))</f>
        <v>310.47303518828346</v>
      </c>
      <c r="CE25" s="62">
        <f t="shared" si="40"/>
        <v>247.30353382335278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15.8</v>
      </c>
      <c r="N26" s="14">
        <f>IF('Données projet'!$A$36&gt;35,N25+M26-V25,IF(A26&lt;'Données projet'!$A$36,$K$205^A26,IF(A26='Données projet'!$A$36,'Données projet'!$B$36,N25+M26-V25)))</f>
        <v>151.4</v>
      </c>
      <c r="O26" s="14">
        <f>N26*VLOOKUP('Données projet'!$B$9,Paramètres!$A$1:$I$89,3,0)*VLOOKUP('Données projet'!$B$9,Paramètres!$A$1:$I$89,5,0)</f>
        <v>132.26304000000002</v>
      </c>
      <c r="P26" s="14">
        <f t="shared" si="33"/>
        <v>34.518755036434833</v>
      </c>
      <c r="Q26" s="22">
        <f t="shared" si="2"/>
        <v>290.47829302179071</v>
      </c>
      <c r="R26" s="62">
        <f t="shared" si="0"/>
        <v>583.81162635512396</v>
      </c>
      <c r="S26" s="62">
        <f ca="1">AVERAGE(OFFSET($R$3,0,0,'Données projet'!$E$9+1,1))-AVERAGE(OFFSET($H$3,0,0,'Données projet'!$E$9+1,1))</f>
        <v>285.16422150773082</v>
      </c>
      <c r="T26" s="62">
        <f t="shared" si="34"/>
        <v>448.96462312238845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85.594080000000005</v>
      </c>
      <c r="AK26" s="14">
        <f t="shared" si="35"/>
        <v>23.499539031833248</v>
      </c>
      <c r="AL26" s="22">
        <f t="shared" si="4"/>
        <v>190.00471981377623</v>
      </c>
      <c r="AM26" s="62">
        <f t="shared" si="5"/>
        <v>483.33805314710958</v>
      </c>
      <c r="AN26" s="62">
        <f ca="1">AVERAGE(OFFSET($AM$3,0,0,'Données projet'!$E$10+1,1))-AVERAGE(OFFSET($H$3,0,0,'Données projet'!$E$10+1,1))</f>
        <v>384.44848355636935</v>
      </c>
      <c r="AO26" s="62">
        <f t="shared" si="36"/>
        <v>203.5274665601915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119.79999999999997</v>
      </c>
      <c r="BE26" s="14">
        <f>BD26*VLOOKUP('Données projet'!$B$11,Paramètres!$A$1:$I$89,3,0)*VLOOKUP('Données projet'!$B$11,Paramètres!$A$1:$I$89,5,0)</f>
        <v>93.443999999999974</v>
      </c>
      <c r="BF26" s="14">
        <f t="shared" si="37"/>
        <v>25.394010816431489</v>
      </c>
      <c r="BG26" s="22">
        <f t="shared" si="7"/>
        <v>206.97620217195148</v>
      </c>
      <c r="BH26" s="62">
        <f t="shared" si="8"/>
        <v>500.30953550528477</v>
      </c>
      <c r="BI26" s="62">
        <f ca="1">AVERAGE(OFFSET($BH$3,0,0,'Données projet'!$E$11+1,1))-AVERAGE(OFFSET($H$3,0,0,'Données projet'!$E$11+1,1))</f>
        <v>220.70608186257931</v>
      </c>
      <c r="BJ26" s="62">
        <f t="shared" si="38"/>
        <v>208.79744153433245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11.025641025641022</v>
      </c>
      <c r="BY26" s="13">
        <f>IF('Données projet'!$A$114&gt;35,BY25+BX26-CG25,IF(A26&lt;'Données projet'!$A$114,$BV$205^A26,IF(A26='Données projet'!$A$114,'Données projet'!$B$114,BY25+BX26-CG25)))</f>
        <v>163.84615384615387</v>
      </c>
      <c r="BZ26" s="14">
        <f>BY26*VLOOKUP('Données projet'!$B$12,Paramètres!$A$1:$I$89,3,0)*VLOOKUP('Données projet'!$B$12,Paramètres!$A$1:$I$89,5,0)</f>
        <v>109.90800000000002</v>
      </c>
      <c r="CA26" s="14">
        <f t="shared" si="39"/>
        <v>29.309307599552149</v>
      </c>
      <c r="CB26" s="22">
        <f t="shared" si="10"/>
        <v>242.47014406922003</v>
      </c>
      <c r="CC26" s="62">
        <f t="shared" si="11"/>
        <v>535.80347740255331</v>
      </c>
      <c r="CD26" s="62">
        <f ca="1">AVERAGE(OFFSET($CC$3,0,0,'Données projet'!$E$12+1,1))-AVERAGE(OFFSET($H$3,0,0,'Données projet'!$E$12+1,1))</f>
        <v>310.47303518828346</v>
      </c>
      <c r="CE26" s="62">
        <f t="shared" si="40"/>
        <v>247.30353382335278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15.8</v>
      </c>
      <c r="N27" s="14">
        <f>IF('Données projet'!$A$36&gt;35,N26+M27-V26,IF(A27&lt;'Données projet'!$A$36,$K$205^A27,IF(A27='Données projet'!$A$36,'Données projet'!$B$36,N26+M27-V26)))</f>
        <v>167.20000000000002</v>
      </c>
      <c r="O27" s="14">
        <f>N27*VLOOKUP('Données projet'!$B$9,Paramètres!$A$1:$I$89,3,0)*VLOOKUP('Données projet'!$B$9,Paramètres!$A$1:$I$89,5,0)</f>
        <v>146.06592000000003</v>
      </c>
      <c r="P27" s="14">
        <f t="shared" si="33"/>
        <v>37.683173643014399</v>
      </c>
      <c r="Q27" s="22">
        <f t="shared" si="2"/>
        <v>320.02967142825008</v>
      </c>
      <c r="R27" s="62">
        <f t="shared" si="0"/>
        <v>613.3630047615834</v>
      </c>
      <c r="S27" s="62">
        <f ca="1">AVERAGE(OFFSET($R$3,0,0,'Données projet'!$E$9+1,1))-AVERAGE(OFFSET($H$3,0,0,'Données projet'!$E$9+1,1))</f>
        <v>285.16422150773082</v>
      </c>
      <c r="T27" s="62">
        <f t="shared" si="34"/>
        <v>448.96462312238845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92.108640000000008</v>
      </c>
      <c r="AK27" s="14">
        <f t="shared" si="35"/>
        <v>25.073090701604293</v>
      </c>
      <c r="AL27" s="22">
        <f t="shared" si="4"/>
        <v>204.09151430529414</v>
      </c>
      <c r="AM27" s="62">
        <f t="shared" si="5"/>
        <v>497.42484763862745</v>
      </c>
      <c r="AN27" s="62">
        <f ca="1">AVERAGE(OFFSET($AM$3,0,0,'Données projet'!$E$10+1,1))-AVERAGE(OFFSET($H$3,0,0,'Données projet'!$E$10+1,1))</f>
        <v>384.44848355636935</v>
      </c>
      <c r="AO27" s="62">
        <f t="shared" si="36"/>
        <v>203.5274665601915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130.39999999999998</v>
      </c>
      <c r="BE27" s="14">
        <f>BD27*VLOOKUP('Données projet'!$B$11,Paramètres!$A$1:$I$89,3,0)*VLOOKUP('Données projet'!$B$11,Paramètres!$A$1:$I$89,5,0)</f>
        <v>101.71199999999999</v>
      </c>
      <c r="BF27" s="14">
        <f t="shared" si="37"/>
        <v>27.369454120725656</v>
      </c>
      <c r="BG27" s="22">
        <f t="shared" si="7"/>
        <v>224.81686592693052</v>
      </c>
      <c r="BH27" s="62">
        <f t="shared" si="8"/>
        <v>518.15019926026389</v>
      </c>
      <c r="BI27" s="62">
        <f ca="1">AVERAGE(OFFSET($BH$3,0,0,'Données projet'!$E$11+1,1))-AVERAGE(OFFSET($H$3,0,0,'Données projet'!$E$11+1,1))</f>
        <v>220.70608186257931</v>
      </c>
      <c r="BJ27" s="62">
        <f t="shared" si="38"/>
        <v>208.79744153433245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11.025641025641022</v>
      </c>
      <c r="BY27" s="13">
        <f>IF('Données projet'!$A$114&gt;35,BY26+BX27-CG26,IF(A27&lt;'Données projet'!$A$114,$BV$205^A27,IF(A27='Données projet'!$A$114,'Données projet'!$B$114,BY26+BX27-CG26)))</f>
        <v>174.87179487179489</v>
      </c>
      <c r="BZ27" s="14">
        <f>BY27*VLOOKUP('Données projet'!$B$12,Paramètres!$A$1:$I$89,3,0)*VLOOKUP('Données projet'!$B$12,Paramètres!$A$1:$I$89,5,0)</f>
        <v>117.30400000000002</v>
      </c>
      <c r="CA27" s="14">
        <f t="shared" si="39"/>
        <v>31.045372419835079</v>
      </c>
      <c r="CB27" s="22">
        <f t="shared" si="10"/>
        <v>258.37515696454608</v>
      </c>
      <c r="CC27" s="62">
        <f t="shared" si="11"/>
        <v>551.70849029787939</v>
      </c>
      <c r="CD27" s="62">
        <f ca="1">AVERAGE(OFFSET($CC$3,0,0,'Données projet'!$E$12+1,1))-AVERAGE(OFFSET($H$3,0,0,'Données projet'!$E$12+1,1))</f>
        <v>310.47303518828346</v>
      </c>
      <c r="CE27" s="62">
        <f t="shared" si="40"/>
        <v>247.30353382335278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183</v>
      </c>
      <c r="L28" s="13">
        <f>VLOOKUP(A28,'Données projet'!$A$35:$I$55,9,0)</f>
        <v>15.8</v>
      </c>
      <c r="M28" s="13">
        <f t="array" ref="M28">INDEX(L:L,MIN(IF(ISNUMBER(L28:L224),ROW(L28:L224),"")))</f>
        <v>15.8</v>
      </c>
      <c r="N28" s="14">
        <f>IF('Données projet'!$A$36&gt;35,N27+M28-V27,IF(A28&lt;'Données projet'!$A$36,$K$205^A28,IF(A28='Données projet'!$A$36,'Données projet'!$B$36,N27+M28-V27)))</f>
        <v>183.00000000000003</v>
      </c>
      <c r="O28" s="14">
        <f>N28*VLOOKUP('Données projet'!$B$9,Paramètres!$A$1:$I$89,3,0)*VLOOKUP('Données projet'!$B$9,Paramètres!$A$1:$I$89,5,0)</f>
        <v>159.86880000000005</v>
      </c>
      <c r="P28" s="14">
        <f t="shared" si="33"/>
        <v>40.812921467768035</v>
      </c>
      <c r="Q28" s="22">
        <f t="shared" si="2"/>
        <v>349.52066488969604</v>
      </c>
      <c r="R28" s="62">
        <f t="shared" si="0"/>
        <v>642.85399822302929</v>
      </c>
      <c r="S28" s="62">
        <f ca="1">AVERAGE(OFFSET($R$3,0,0,'Données projet'!$E$9+1,1))-AVERAGE(OFFSET($H$3,0,0,'Données projet'!$E$9+1,1))</f>
        <v>285.16422150773082</v>
      </c>
      <c r="T28" s="62">
        <f t="shared" si="34"/>
        <v>448.96462312238845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98.623200000000011</v>
      </c>
      <c r="AK28" s="14">
        <f t="shared" si="35"/>
        <v>26.633729748944933</v>
      </c>
      <c r="AL28" s="22">
        <f t="shared" si="4"/>
        <v>218.15581931274576</v>
      </c>
      <c r="AM28" s="62">
        <f t="shared" si="5"/>
        <v>511.48915264607911</v>
      </c>
      <c r="AN28" s="62">
        <f ca="1">AVERAGE(OFFSET($AM$3,0,0,'Données projet'!$E$10+1,1))-AVERAGE(OFFSET($H$3,0,0,'Données projet'!$E$10+1,1))</f>
        <v>384.44848355636935</v>
      </c>
      <c r="AO28" s="62">
        <f t="shared" si="36"/>
        <v>203.5274665601915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141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140.99999999999997</v>
      </c>
      <c r="BE28" s="14">
        <f>BD28*VLOOKUP('Données projet'!$B$11,Paramètres!$A$1:$I$89,3,0)*VLOOKUP('Données projet'!$B$11,Paramètres!$A$1:$I$89,5,0)</f>
        <v>109.97999999999998</v>
      </c>
      <c r="BF28" s="14">
        <f t="shared" si="37"/>
        <v>29.326272366698234</v>
      </c>
      <c r="BG28" s="22">
        <f t="shared" si="7"/>
        <v>242.62509103866606</v>
      </c>
      <c r="BH28" s="62">
        <f t="shared" si="8"/>
        <v>535.9584243719994</v>
      </c>
      <c r="BI28" s="62">
        <f ca="1">AVERAGE(OFFSET($BH$3,0,0,'Données projet'!$E$11+1,1))-AVERAGE(OFFSET($H$3,0,0,'Données projet'!$E$11+1,1))</f>
        <v>220.70608186257931</v>
      </c>
      <c r="BJ28" s="62">
        <f t="shared" si="38"/>
        <v>208.79744153433245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55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185.89743589743588</v>
      </c>
      <c r="BW28" s="13">
        <f>VLOOKUP(A28,'Données projet'!$A$113:$I$133,9,0)</f>
        <v>11.025641025641022</v>
      </c>
      <c r="BX28" s="13">
        <f t="array" ref="BX28">INDEX(BW:BW,MIN(IF(ISNUMBER(BW28:BW224),ROW(BW28:BW224),"")))</f>
        <v>11.025641025641022</v>
      </c>
      <c r="BY28" s="13">
        <f>IF('Données projet'!$A$114&gt;35,BY27+BX28-CG27,IF(A28&lt;'Données projet'!$A$114,$BV$205^A28,IF(A28='Données projet'!$A$114,'Données projet'!$B$114,BY27+BX28-CG27)))</f>
        <v>185.89743589743591</v>
      </c>
      <c r="BZ28" s="14">
        <f>BY28*VLOOKUP('Données projet'!$B$12,Paramètres!$A$1:$I$89,3,0)*VLOOKUP('Données projet'!$B$12,Paramètres!$A$1:$I$89,5,0)</f>
        <v>124.70000000000002</v>
      </c>
      <c r="CA28" s="14">
        <f t="shared" si="39"/>
        <v>32.768734011954976</v>
      </c>
      <c r="CB28" s="22">
        <f t="shared" si="10"/>
        <v>274.25804507082165</v>
      </c>
      <c r="CC28" s="62">
        <f t="shared" si="11"/>
        <v>567.59137840415497</v>
      </c>
      <c r="CD28" s="62">
        <f ca="1">AVERAGE(OFFSET($CC$3,0,0,'Données projet'!$E$12+1,1))-AVERAGE(OFFSET($H$3,0,0,'Données projet'!$E$12+1,1))</f>
        <v>310.47303518828346</v>
      </c>
      <c r="CE28" s="62">
        <f t="shared" si="40"/>
        <v>247.30353382335278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43.589743589743591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14.8</v>
      </c>
      <c r="N29" s="14">
        <f>IF('Données projet'!$A$36&gt;35,N28+M29-V28,IF(A29&lt;'Données projet'!$A$36,$K$205^A29,IF(A29='Données projet'!$A$36,'Données projet'!$B$36,N28+M29-V28)))</f>
        <v>197.80000000000004</v>
      </c>
      <c r="O29" s="14">
        <f>N29*VLOOKUP('Données projet'!$B$9,Paramètres!$A$1:$I$89,3,0)*VLOOKUP('Données projet'!$B$9,Paramètres!$A$1:$I$89,5,0)</f>
        <v>172.79808000000006</v>
      </c>
      <c r="P29" s="14">
        <f t="shared" si="33"/>
        <v>43.716103757502459</v>
      </c>
      <c r="Q29" s="22">
        <f t="shared" si="2"/>
        <v>377.09553671098348</v>
      </c>
      <c r="R29" s="62">
        <f t="shared" si="0"/>
        <v>670.4288700443168</v>
      </c>
      <c r="S29" s="62">
        <f ca="1">AVERAGE(OFFSET($R$3,0,0,'Données projet'!$E$9+1,1))-AVERAGE(OFFSET($H$3,0,0,'Données projet'!$E$9+1,1))</f>
        <v>285.16422150773082</v>
      </c>
      <c r="T29" s="62">
        <f t="shared" si="34"/>
        <v>448.96462312238845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462.94678562222634</v>
      </c>
      <c r="AN29" s="62">
        <f ca="1">AVERAGE(OFFSET($AM$3,0,0,'Données projet'!$E$10+1,1))-AVERAGE(OFFSET($H$3,0,0,'Données projet'!$E$10+1,1))</f>
        <v>384.44848355636935</v>
      </c>
      <c r="AO29" s="62">
        <f t="shared" si="36"/>
        <v>203.5274665601915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97.499999999999972</v>
      </c>
      <c r="BE29" s="14">
        <f>BD29*VLOOKUP('Données projet'!$B$11,Paramètres!$A$1:$I$89,3,0)*VLOOKUP('Données projet'!$B$11,Paramètres!$A$1:$I$89,5,0)</f>
        <v>76.049999999999983</v>
      </c>
      <c r="BF29" s="14">
        <f t="shared" si="37"/>
        <v>21.168560890749262</v>
      </c>
      <c r="BG29" s="22">
        <f t="shared" si="7"/>
        <v>169.32232688472158</v>
      </c>
      <c r="BH29" s="62">
        <f t="shared" si="8"/>
        <v>462.65566021805489</v>
      </c>
      <c r="BI29" s="62">
        <f ca="1">AVERAGE(OFFSET($BH$3,0,0,'Données projet'!$E$11+1,1))-AVERAGE(OFFSET($H$3,0,0,'Données projet'!$E$11+1,1))</f>
        <v>220.70608186257931</v>
      </c>
      <c r="BJ29" s="62">
        <f t="shared" si="38"/>
        <v>208.79744153433245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10.256410256410259</v>
      </c>
      <c r="BY29" s="13">
        <f>IF('Données projet'!$A$114&gt;35,BY28+BX29-CG28,IF(A29&lt;'Données projet'!$A$114,$BV$205^A29,IF(A29='Données projet'!$A$114,'Données projet'!$B$114,BY28+BX29-CG28)))</f>
        <v>152.56410256410257</v>
      </c>
      <c r="BZ29" s="14">
        <f>BY29*VLOOKUP('Données projet'!$B$12,Paramètres!$A$1:$I$89,3,0)*VLOOKUP('Données projet'!$B$12,Paramètres!$A$1:$I$89,5,0)</f>
        <v>102.34</v>
      </c>
      <c r="CA29" s="14">
        <f t="shared" si="39"/>
        <v>27.51871760004666</v>
      </c>
      <c r="CB29" s="22">
        <f t="shared" si="10"/>
        <v>226.17059982008129</v>
      </c>
      <c r="CC29" s="62">
        <f t="shared" si="11"/>
        <v>519.50393315341466</v>
      </c>
      <c r="CD29" s="62">
        <f ca="1">AVERAGE(OFFSET($CC$3,0,0,'Données projet'!$E$12+1,1))-AVERAGE(OFFSET($H$3,0,0,'Données projet'!$E$12+1,1))</f>
        <v>310.47303518828346</v>
      </c>
      <c r="CE29" s="62">
        <f t="shared" si="40"/>
        <v>247.30353382335278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14.8</v>
      </c>
      <c r="N30" s="14">
        <f>IF('Données projet'!$A$36&gt;35,N29+M30-V29,IF(A30&lt;'Données projet'!$A$36,$K$205^A30,IF(A30='Données projet'!$A$36,'Données projet'!$B$36,N29+M30-V29)))</f>
        <v>212.60000000000005</v>
      </c>
      <c r="O30" s="14">
        <f>N30*VLOOKUP('Données projet'!$B$9,Paramètres!$A$1:$I$89,3,0)*VLOOKUP('Données projet'!$B$9,Paramètres!$A$1:$I$89,5,0)</f>
        <v>185.72736000000006</v>
      </c>
      <c r="P30" s="14">
        <f t="shared" si="33"/>
        <v>46.594086043363802</v>
      </c>
      <c r="Q30" s="22">
        <f t="shared" si="2"/>
        <v>404.6265185255254</v>
      </c>
      <c r="R30" s="62">
        <f t="shared" si="0"/>
        <v>697.95985185885866</v>
      </c>
      <c r="S30" s="62">
        <f ca="1">AVERAGE(OFFSET($R$3,0,0,'Données projet'!$E$9+1,1))-AVERAGE(OFFSET($H$3,0,0,'Données projet'!$E$9+1,1))</f>
        <v>285.16422150773082</v>
      </c>
      <c r="T30" s="62">
        <f t="shared" si="34"/>
        <v>448.96462312238845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480.9879370704989</v>
      </c>
      <c r="AN30" s="62">
        <f ca="1">AVERAGE(OFFSET($AM$3,0,0,'Données projet'!$E$10+1,1))-AVERAGE(OFFSET($H$3,0,0,'Données projet'!$E$10+1,1))</f>
        <v>384.44848355636935</v>
      </c>
      <c r="AO30" s="62">
        <f t="shared" si="36"/>
        <v>203.5274665601915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108.99999999999997</v>
      </c>
      <c r="BE30" s="14">
        <f>BD30*VLOOKUP('Données projet'!$B$11,Paramètres!$A$1:$I$89,3,0)*VLOOKUP('Données projet'!$B$11,Paramètres!$A$1:$I$89,5,0)</f>
        <v>85.019999999999982</v>
      </c>
      <c r="BF30" s="14">
        <f t="shared" si="37"/>
        <v>23.360218970693108</v>
      </c>
      <c r="BG30" s="22">
        <f t="shared" si="7"/>
        <v>188.76221470729047</v>
      </c>
      <c r="BH30" s="62">
        <f t="shared" si="8"/>
        <v>482.09554804062378</v>
      </c>
      <c r="BI30" s="62">
        <f ca="1">AVERAGE(OFFSET($BH$3,0,0,'Données projet'!$E$11+1,1))-AVERAGE(OFFSET($H$3,0,0,'Données projet'!$E$11+1,1))</f>
        <v>220.70608186257931</v>
      </c>
      <c r="BJ30" s="62">
        <f t="shared" si="38"/>
        <v>208.79744153433245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10.256410256410259</v>
      </c>
      <c r="BY30" s="13">
        <f>IF('Données projet'!$A$114&gt;35,BY29+BX30-CG29,IF(A30&lt;'Données projet'!$A$114,$BV$205^A30,IF(A30='Données projet'!$A$114,'Données projet'!$B$114,BY29+BX30-CG29)))</f>
        <v>162.82051282051282</v>
      </c>
      <c r="BZ30" s="14">
        <f>BY30*VLOOKUP('Données projet'!$B$12,Paramètres!$A$1:$I$89,3,0)*VLOOKUP('Données projet'!$B$12,Paramètres!$A$1:$I$89,5,0)</f>
        <v>109.22</v>
      </c>
      <c r="CA30" s="14">
        <f t="shared" si="39"/>
        <v>29.147134446007001</v>
      </c>
      <c r="CB30" s="22">
        <f t="shared" si="10"/>
        <v>240.98942582679555</v>
      </c>
      <c r="CC30" s="62">
        <f t="shared" si="11"/>
        <v>534.32275916012884</v>
      </c>
      <c r="CD30" s="62">
        <f ca="1">AVERAGE(OFFSET($CC$3,0,0,'Données projet'!$E$12+1,1))-AVERAGE(OFFSET($H$3,0,0,'Données projet'!$E$12+1,1))</f>
        <v>310.47303518828346</v>
      </c>
      <c r="CE30" s="62">
        <f t="shared" si="40"/>
        <v>247.30353382335278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14.8</v>
      </c>
      <c r="N31" s="14">
        <f>IF('Données projet'!$A$36&gt;35,N30+M31-V30,IF(A31&lt;'Données projet'!$A$36,$K$205^A31,IF(A31='Données projet'!$A$36,'Données projet'!$B$36,N30+M31-V30)))</f>
        <v>227.40000000000006</v>
      </c>
      <c r="O31" s="14">
        <f>N31*VLOOKUP('Données projet'!$B$9,Paramètres!$A$1:$I$89,3,0)*VLOOKUP('Données projet'!$B$9,Paramètres!$A$1:$I$89,5,0)</f>
        <v>198.6566400000001</v>
      </c>
      <c r="P31" s="14">
        <f t="shared" si="33"/>
        <v>49.448822156743468</v>
      </c>
      <c r="Q31" s="22">
        <f t="shared" si="2"/>
        <v>432.11701325632833</v>
      </c>
      <c r="R31" s="62">
        <f t="shared" si="0"/>
        <v>725.45034658966165</v>
      </c>
      <c r="S31" s="62">
        <f ca="1">AVERAGE(OFFSET($R$3,0,0,'Données projet'!$E$9+1,1))-AVERAGE(OFFSET($H$3,0,0,'Données projet'!$E$9+1,1))</f>
        <v>285.16422150773082</v>
      </c>
      <c r="T31" s="62">
        <f t="shared" si="34"/>
        <v>448.96462312238845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498.9886264212779</v>
      </c>
      <c r="AN31" s="62">
        <f ca="1">AVERAGE(OFFSET($AM$3,0,0,'Données projet'!$E$10+1,1))-AVERAGE(OFFSET($H$3,0,0,'Données projet'!$E$10+1,1))</f>
        <v>384.44848355636935</v>
      </c>
      <c r="AO31" s="62">
        <f t="shared" si="36"/>
        <v>203.5274665601915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120.49999999999997</v>
      </c>
      <c r="BE31" s="14">
        <f>BD31*VLOOKUP('Données projet'!$B$11,Paramètres!$A$1:$I$89,3,0)*VLOOKUP('Données projet'!$B$11,Paramètres!$A$1:$I$89,5,0)</f>
        <v>93.989999999999981</v>
      </c>
      <c r="BF31" s="14">
        <f t="shared" si="37"/>
        <v>25.525074036970079</v>
      </c>
      <c r="BG31" s="22">
        <f t="shared" si="7"/>
        <v>208.15542061438953</v>
      </c>
      <c r="BH31" s="62">
        <f t="shared" si="8"/>
        <v>501.48875394772284</v>
      </c>
      <c r="BI31" s="62">
        <f ca="1">AVERAGE(OFFSET($BH$3,0,0,'Données projet'!$E$11+1,1))-AVERAGE(OFFSET($H$3,0,0,'Données projet'!$E$11+1,1))</f>
        <v>220.70608186257931</v>
      </c>
      <c r="BJ31" s="62">
        <f t="shared" si="38"/>
        <v>208.79744153433245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10.256410256410259</v>
      </c>
      <c r="BY31" s="13">
        <f>IF('Données projet'!$A$114&gt;35,BY30+BX31-CG30,IF(A31&lt;'Données projet'!$A$114,$BV$205^A31,IF(A31='Données projet'!$A$114,'Données projet'!$B$114,BY30+BX31-CG30)))</f>
        <v>173.07692307692307</v>
      </c>
      <c r="BZ31" s="14">
        <f>BY31*VLOOKUP('Données projet'!$B$12,Paramètres!$A$1:$I$89,3,0)*VLOOKUP('Données projet'!$B$12,Paramètres!$A$1:$I$89,5,0)</f>
        <v>116.1</v>
      </c>
      <c r="CA31" s="14">
        <f t="shared" si="39"/>
        <v>30.763646636385982</v>
      </c>
      <c r="CB31" s="22">
        <f t="shared" si="10"/>
        <v>255.78751789170556</v>
      </c>
      <c r="CC31" s="62">
        <f t="shared" si="11"/>
        <v>549.1208512250389</v>
      </c>
      <c r="CD31" s="62">
        <f ca="1">AVERAGE(OFFSET($CC$3,0,0,'Données projet'!$E$12+1,1))-AVERAGE(OFFSET($H$3,0,0,'Données projet'!$E$12+1,1))</f>
        <v>310.47303518828346</v>
      </c>
      <c r="CE31" s="62">
        <f t="shared" si="40"/>
        <v>247.30353382335278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14.8</v>
      </c>
      <c r="N32" s="14">
        <f>IF('Données projet'!$A$36&gt;35,N31+M32-V31,IF(A32&lt;'Données projet'!$A$36,$K$205^A32,IF(A32='Données projet'!$A$36,'Données projet'!$B$36,N31+M32-V31)))</f>
        <v>242.20000000000007</v>
      </c>
      <c r="O32" s="14">
        <f>N32*VLOOKUP('Données projet'!$B$9,Paramètres!$A$1:$I$89,3,0)*VLOOKUP('Données projet'!$B$9,Paramètres!$A$1:$I$89,5,0)</f>
        <v>211.5859200000001</v>
      </c>
      <c r="P32" s="14">
        <f t="shared" si="33"/>
        <v>52.281997222074672</v>
      </c>
      <c r="Q32" s="22">
        <f t="shared" si="2"/>
        <v>459.56995582844689</v>
      </c>
      <c r="R32" s="62">
        <f t="shared" si="0"/>
        <v>752.90328916178021</v>
      </c>
      <c r="S32" s="62">
        <f ca="1">AVERAGE(OFFSET($R$3,0,0,'Données projet'!$E$9+1,1))-AVERAGE(OFFSET($H$3,0,0,'Données projet'!$E$9+1,1))</f>
        <v>285.16422150773082</v>
      </c>
      <c r="T32" s="62">
        <f t="shared" si="34"/>
        <v>448.96462312238845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516.95289444408968</v>
      </c>
      <c r="AN32" s="62">
        <f ca="1">AVERAGE(OFFSET($AM$3,0,0,'Données projet'!$E$10+1,1))-AVERAGE(OFFSET($H$3,0,0,'Données projet'!$E$10+1,1))</f>
        <v>384.44848355636935</v>
      </c>
      <c r="AO32" s="62">
        <f t="shared" si="36"/>
        <v>203.5274665601915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131.99999999999997</v>
      </c>
      <c r="BE32" s="14">
        <f>BD32*VLOOKUP('Données projet'!$B$11,Paramètres!$A$1:$I$89,3,0)*VLOOKUP('Données projet'!$B$11,Paramètres!$A$1:$I$89,5,0)</f>
        <v>102.95999999999998</v>
      </c>
      <c r="BF32" s="14">
        <f t="shared" si="37"/>
        <v>27.665975080374633</v>
      </c>
      <c r="BG32" s="22">
        <f t="shared" si="7"/>
        <v>227.50690659831912</v>
      </c>
      <c r="BH32" s="62">
        <f t="shared" si="8"/>
        <v>520.84023993165238</v>
      </c>
      <c r="BI32" s="62">
        <f ca="1">AVERAGE(OFFSET($BH$3,0,0,'Données projet'!$E$11+1,1))-AVERAGE(OFFSET($H$3,0,0,'Données projet'!$E$11+1,1))</f>
        <v>220.70608186257931</v>
      </c>
      <c r="BJ32" s="62">
        <f t="shared" si="38"/>
        <v>208.79744153433245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10.256410256410259</v>
      </c>
      <c r="BY32" s="13">
        <f>IF('Données projet'!$A$114&gt;35,BY31+BX32-CG31,IF(A32&lt;'Données projet'!$A$114,$BV$205^A32,IF(A32='Données projet'!$A$114,'Données projet'!$B$114,BY31+BX32-CG31)))</f>
        <v>183.33333333333331</v>
      </c>
      <c r="BZ32" s="14">
        <f>BY32*VLOOKUP('Données projet'!$B$12,Paramètres!$A$1:$I$89,3,0)*VLOOKUP('Données projet'!$B$12,Paramètres!$A$1:$I$89,5,0)</f>
        <v>122.97999999999999</v>
      </c>
      <c r="CA32" s="14">
        <f t="shared" si="39"/>
        <v>32.369039984453188</v>
      </c>
      <c r="CB32" s="22">
        <f t="shared" si="10"/>
        <v>270.56624463958929</v>
      </c>
      <c r="CC32" s="62">
        <f t="shared" si="11"/>
        <v>563.89957797292254</v>
      </c>
      <c r="CD32" s="62">
        <f ca="1">AVERAGE(OFFSET($CC$3,0,0,'Données projet'!$E$12+1,1))-AVERAGE(OFFSET($H$3,0,0,'Données projet'!$E$12+1,1))</f>
        <v>310.47303518828346</v>
      </c>
      <c r="CE32" s="62">
        <f t="shared" si="40"/>
        <v>247.30353382335278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257</v>
      </c>
      <c r="L33" s="13">
        <f>VLOOKUP(A33,'Données projet'!$A$35:$I$55,9,0)</f>
        <v>14.8</v>
      </c>
      <c r="M33" s="13">
        <f t="array" ref="M33">INDEX(L:L,MIN(IF(ISNUMBER(L33:L229),ROW(L33:L229),"")))</f>
        <v>14.8</v>
      </c>
      <c r="N33" s="14">
        <f>IF('Données projet'!$A$36&gt;35,N32+M33-V32,IF(A33&lt;'Données projet'!$A$36,$K$205^A33,IF(A33='Données projet'!$A$36,'Données projet'!$B$36,N32+M33-V32)))</f>
        <v>257.00000000000006</v>
      </c>
      <c r="O33" s="14">
        <f>N33*VLOOKUP('Données projet'!$B$9,Paramètres!$A$1:$I$89,3,0)*VLOOKUP('Données projet'!$B$9,Paramètres!$A$1:$I$89,5,0)</f>
        <v>224.51520000000008</v>
      </c>
      <c r="P33" s="14">
        <f t="shared" si="33"/>
        <v>55.095078782313593</v>
      </c>
      <c r="Q33" s="22">
        <f t="shared" si="2"/>
        <v>486.9879022125296</v>
      </c>
      <c r="R33" s="62">
        <f t="shared" si="0"/>
        <v>780.32123554586292</v>
      </c>
      <c r="S33" s="62">
        <f ca="1">AVERAGE(OFFSET($R$3,0,0,'Données projet'!$E$9+1,1))-AVERAGE(OFFSET($H$3,0,0,'Données projet'!$E$9+1,1))</f>
        <v>285.16422150773082</v>
      </c>
      <c r="T33" s="62">
        <f t="shared" si="34"/>
        <v>448.96462312238845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103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534.88407898366597</v>
      </c>
      <c r="AN33" s="62">
        <f ca="1">AVERAGE(OFFSET($AM$3,0,0,'Données projet'!$E$10+1,1))-AVERAGE(OFFSET($H$3,0,0,'Données projet'!$E$10+1,1))</f>
        <v>384.44848355636935</v>
      </c>
      <c r="AO33" s="62">
        <f t="shared" si="36"/>
        <v>203.5274665601915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143.49999999999997</v>
      </c>
      <c r="BE33" s="14">
        <f>BD33*VLOOKUP('Données projet'!$B$11,Paramètres!$A$1:$I$89,3,0)*VLOOKUP('Données projet'!$B$11,Paramètres!$A$1:$I$89,5,0)</f>
        <v>111.92999999999998</v>
      </c>
      <c r="BF33" s="14">
        <f t="shared" si="37"/>
        <v>29.785246291563833</v>
      </c>
      <c r="BG33" s="22">
        <f t="shared" si="7"/>
        <v>246.82072062447358</v>
      </c>
      <c r="BH33" s="62">
        <f t="shared" si="8"/>
        <v>540.15405395780692</v>
      </c>
      <c r="BI33" s="62">
        <f ca="1">AVERAGE(OFFSET($BH$3,0,0,'Données projet'!$E$11+1,1))-AVERAGE(OFFSET($H$3,0,0,'Données projet'!$E$11+1,1))</f>
        <v>220.70608186257931</v>
      </c>
      <c r="BJ33" s="62">
        <f t="shared" si="38"/>
        <v>208.79744153433245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193.58974358974359</v>
      </c>
      <c r="BW33" s="13">
        <f>VLOOKUP(A33,'Données projet'!$A$113:$I$133,9,0)</f>
        <v>10.256410256410259</v>
      </c>
      <c r="BX33" s="13">
        <f t="array" ref="BX33">INDEX(BW:BW,MIN(IF(ISNUMBER(BW33:BW229),ROW(BW33:BW229),"")))</f>
        <v>10.256410256410259</v>
      </c>
      <c r="BY33" s="13">
        <f>IF('Données projet'!$A$114&gt;35,BY32+BX33-CG32,IF(A33&lt;'Données projet'!$A$114,$BV$205^A33,IF(A33='Données projet'!$A$114,'Données projet'!$B$114,BY32+BX33-CG32)))</f>
        <v>193.58974358974356</v>
      </c>
      <c r="BZ33" s="14">
        <f>BY33*VLOOKUP('Données projet'!$B$12,Paramètres!$A$1:$I$89,3,0)*VLOOKUP('Données projet'!$B$12,Paramètres!$A$1:$I$89,5,0)</f>
        <v>129.85999999999999</v>
      </c>
      <c r="CA33" s="14">
        <f t="shared" si="39"/>
        <v>33.964007414446357</v>
      </c>
      <c r="CB33" s="22">
        <f t="shared" si="10"/>
        <v>285.326812913494</v>
      </c>
      <c r="CC33" s="62">
        <f t="shared" si="11"/>
        <v>578.66014624682725</v>
      </c>
      <c r="CD33" s="62">
        <f ca="1">AVERAGE(OFFSET($CC$3,0,0,'Données projet'!$E$12+1,1))-AVERAGE(OFFSET($H$3,0,0,'Données projet'!$E$12+1,1))</f>
        <v>310.47303518828346</v>
      </c>
      <c r="CE33" s="62">
        <f t="shared" si="40"/>
        <v>247.30353382335278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13.6</v>
      </c>
      <c r="N34" s="14">
        <f>IF('Données projet'!$A$36&gt;35,N33+M34-V33,IF(A34&lt;'Données projet'!$A$36,$K$205^A34,IF(A34='Données projet'!$A$36,'Données projet'!$B$36,N33+M34-V33)))</f>
        <v>167.60000000000008</v>
      </c>
      <c r="O34" s="14">
        <f>N34*VLOOKUP('Données projet'!$B$9,Paramètres!$A$1:$I$89,3,0)*VLOOKUP('Données projet'!$B$9,Paramètres!$A$1:$I$89,5,0)</f>
        <v>146.41536000000008</v>
      </c>
      <c r="P34" s="14">
        <f t="shared" si="33"/>
        <v>37.762820103024467</v>
      </c>
      <c r="Q34" s="22">
        <f t="shared" si="2"/>
        <v>320.77699701276771</v>
      </c>
      <c r="R34" s="62">
        <f t="shared" si="0"/>
        <v>614.11033034610102</v>
      </c>
      <c r="S34" s="62">
        <f ca="1">AVERAGE(OFFSET($R$3,0,0,'Données projet'!$E$9+1,1))-AVERAGE(OFFSET($H$3,0,0,'Données projet'!$E$9+1,1))</f>
        <v>285.16422150773082</v>
      </c>
      <c r="T34" s="62">
        <f t="shared" si="34"/>
        <v>448.96462312238845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119.25264000000003</v>
      </c>
      <c r="AK34" s="14">
        <f t="shared" si="35"/>
        <v>31.500626518374375</v>
      </c>
      <c r="AL34" s="22">
        <f t="shared" si="4"/>
        <v>262.56193918616879</v>
      </c>
      <c r="AM34" s="62">
        <f t="shared" si="5"/>
        <v>555.8952725195021</v>
      </c>
      <c r="AN34" s="62">
        <f ca="1">AVERAGE(OFFSET($AM$3,0,0,'Données projet'!$E$10+1,1))-AVERAGE(OFFSET($H$3,0,0,'Données projet'!$E$10+1,1))</f>
        <v>384.44848355636935</v>
      </c>
      <c r="AO34" s="62">
        <f t="shared" si="36"/>
        <v>203.5274665601915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154.99999999999997</v>
      </c>
      <c r="BE34" s="14">
        <f>BD34*VLOOKUP('Données projet'!$B$11,Paramètres!$A$1:$I$89,3,0)*VLOOKUP('Données projet'!$B$11,Paramètres!$A$1:$I$89,5,0)</f>
        <v>120.89999999999998</v>
      </c>
      <c r="BF34" s="14">
        <f t="shared" si="37"/>
        <v>31.884818143351602</v>
      </c>
      <c r="BG34" s="22">
        <f t="shared" si="7"/>
        <v>266.10022493300397</v>
      </c>
      <c r="BH34" s="62">
        <f t="shared" si="8"/>
        <v>559.43355826633729</v>
      </c>
      <c r="BI34" s="62">
        <f ca="1">AVERAGE(OFFSET($BH$3,0,0,'Données projet'!$E$11+1,1))-AVERAGE(OFFSET($H$3,0,0,'Données projet'!$E$11+1,1))</f>
        <v>220.70608186257931</v>
      </c>
      <c r="BJ34" s="62">
        <f t="shared" si="38"/>
        <v>208.79744153433245</v>
      </c>
      <c r="BK34" s="16">
        <f>IF(ISNA(VLOOKUP(A34,'Données projet'!$A$87:$I$107,3,0)),0,VLOOKUP(A34,'Données projet'!$A$87:$I$107,3,0))</f>
        <v>2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9.4871794871794854</v>
      </c>
      <c r="BY34" s="13">
        <f>IF('Données projet'!$A$114&gt;35,BY33+BX34-CG33,IF(A34&lt;'Données projet'!$A$114,$BV$205^A34,IF(A34='Données projet'!$A$114,'Données projet'!$B$114,BY33+BX34-CG33)))</f>
        <v>203.07692307692304</v>
      </c>
      <c r="BZ34" s="14">
        <f>BY34*VLOOKUP('Données projet'!$B$12,Paramètres!$A$1:$I$89,3,0)*VLOOKUP('Données projet'!$B$12,Paramètres!$A$1:$I$89,5,0)</f>
        <v>136.22399999999999</v>
      </c>
      <c r="CA34" s="14">
        <f t="shared" si="39"/>
        <v>35.430605225162601</v>
      </c>
      <c r="CB34" s="22">
        <f t="shared" si="10"/>
        <v>298.96510410049149</v>
      </c>
      <c r="CC34" s="62">
        <f t="shared" si="11"/>
        <v>592.2984374338248</v>
      </c>
      <c r="CD34" s="62">
        <f ca="1">AVERAGE(OFFSET($CC$3,0,0,'Données projet'!$E$12+1,1))-AVERAGE(OFFSET($H$3,0,0,'Données projet'!$E$12+1,1))</f>
        <v>310.47303518828346</v>
      </c>
      <c r="CE34" s="62">
        <f t="shared" si="40"/>
        <v>247.30353382335278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13.6</v>
      </c>
      <c r="N35" s="14">
        <f>IF('Données projet'!$A$36&gt;35,N34+M35-V34,IF(A35&lt;'Données projet'!$A$36,$K$205^A35,IF(A35='Données projet'!$A$36,'Données projet'!$B$36,N34+M35-V34)))</f>
        <v>181.20000000000007</v>
      </c>
      <c r="O35" s="14">
        <f>N35*VLOOKUP('Données projet'!$B$9,Paramètres!$A$1:$I$89,3,0)*VLOOKUP('Données projet'!$B$9,Paramètres!$A$1:$I$89,5,0)</f>
        <v>158.29632000000009</v>
      </c>
      <c r="P35" s="14">
        <f t="shared" si="33"/>
        <v>40.458006540983739</v>
      </c>
      <c r="Q35" s="22">
        <f t="shared" ref="Q35:Q66" si="53">(O35+P35)*0.475*44/12</f>
        <v>346.16378539221347</v>
      </c>
      <c r="R35" s="62">
        <f t="shared" si="0"/>
        <v>639.49711872554678</v>
      </c>
      <c r="S35" s="62">
        <f ca="1">AVERAGE(OFFSET($R$3,0,0,'Données projet'!$E$9+1,1))-AVERAGE(OFFSET($H$3,0,0,'Données projet'!$E$9+1,1))</f>
        <v>285.16422150773082</v>
      </c>
      <c r="T35" s="62">
        <f t="shared" si="34"/>
        <v>448.96462312238845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129.02448000000004</v>
      </c>
      <c r="AK35" s="14">
        <f t="shared" si="35"/>
        <v>33.770846580616279</v>
      </c>
      <c r="AL35" s="22">
        <f t="shared" si="4"/>
        <v>283.53519379457339</v>
      </c>
      <c r="AM35" s="62">
        <f t="shared" si="5"/>
        <v>576.86852712790665</v>
      </c>
      <c r="AN35" s="62">
        <f ca="1">AVERAGE(OFFSET($AM$3,0,0,'Données projet'!$E$10+1,1))-AVERAGE(OFFSET($H$3,0,0,'Données projet'!$E$10+1,1))</f>
        <v>384.44848355636935</v>
      </c>
      <c r="AO35" s="62">
        <f t="shared" si="36"/>
        <v>203.5274665601915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130.49999999999997</v>
      </c>
      <c r="BE35" s="14">
        <f>BD35*VLOOKUP('Données projet'!$B$11,Paramètres!$A$1:$I$89,3,0)*VLOOKUP('Données projet'!$B$11,Paramètres!$A$1:$I$89,5,0)</f>
        <v>101.78999999999998</v>
      </c>
      <c r="BF35" s="14">
        <f t="shared" si="37"/>
        <v>27.38799903683508</v>
      </c>
      <c r="BG35" s="22">
        <f t="shared" si="7"/>
        <v>224.98501498915437</v>
      </c>
      <c r="BH35" s="62">
        <f t="shared" si="8"/>
        <v>518.31834832248774</v>
      </c>
      <c r="BI35" s="62">
        <f ca="1">AVERAGE(OFFSET($BH$3,0,0,'Données projet'!$E$11+1,1))-AVERAGE(OFFSET($H$3,0,0,'Données projet'!$E$11+1,1))</f>
        <v>220.70608186257931</v>
      </c>
      <c r="BJ35" s="62">
        <f t="shared" si="38"/>
        <v>208.79744153433245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9.4871794871794854</v>
      </c>
      <c r="BY35" s="13">
        <f>IF('Données projet'!$A$114&gt;35,BY34+BX35-CG34,IF(A35&lt;'Données projet'!$A$114,$BV$205^A35,IF(A35='Données projet'!$A$114,'Données projet'!$B$114,BY34+BX35-CG34)))</f>
        <v>212.56410256410251</v>
      </c>
      <c r="BZ35" s="14">
        <f>BY35*VLOOKUP('Données projet'!$B$12,Paramètres!$A$1:$I$89,3,0)*VLOOKUP('Données projet'!$B$12,Paramètres!$A$1:$I$89,5,0)</f>
        <v>142.58799999999997</v>
      </c>
      <c r="CA35" s="14">
        <f t="shared" si="39"/>
        <v>36.889246443592988</v>
      </c>
      <c r="CB35" s="22">
        <f t="shared" si="10"/>
        <v>312.58953755592438</v>
      </c>
      <c r="CC35" s="62">
        <f t="shared" si="11"/>
        <v>605.92287088925764</v>
      </c>
      <c r="CD35" s="62">
        <f ca="1">AVERAGE(OFFSET($CC$3,0,0,'Données projet'!$E$12+1,1))-AVERAGE(OFFSET($H$3,0,0,'Données projet'!$E$12+1,1))</f>
        <v>310.47303518828346</v>
      </c>
      <c r="CE35" s="62">
        <f t="shared" si="40"/>
        <v>247.30353382335278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13.6</v>
      </c>
      <c r="N36" s="14">
        <f>IF('Données projet'!$A$36&gt;35,N35+M36-V35,IF(A36&lt;'Données projet'!$A$36,$K$205^A36,IF(A36='Données projet'!$A$36,'Données projet'!$B$36,N35+M36-V35)))</f>
        <v>194.80000000000007</v>
      </c>
      <c r="O36" s="14">
        <f>N36*VLOOKUP('Données projet'!$B$9,Paramètres!$A$1:$I$89,3,0)*VLOOKUP('Données projet'!$B$9,Paramètres!$A$1:$I$89,5,0)</f>
        <v>170.17728000000008</v>
      </c>
      <c r="P36" s="14">
        <f t="shared" si="33"/>
        <v>43.129725999134671</v>
      </c>
      <c r="Q36" s="22">
        <f t="shared" si="53"/>
        <v>371.50970211515966</v>
      </c>
      <c r="R36" s="62">
        <f t="shared" si="0"/>
        <v>664.84303544849297</v>
      </c>
      <c r="S36" s="62">
        <f ca="1">AVERAGE(OFFSET($R$3,0,0,'Données projet'!$E$9+1,1))-AVERAGE(OFFSET($H$3,0,0,'Données projet'!$E$9+1,1))</f>
        <v>285.16422150773082</v>
      </c>
      <c r="T36" s="62">
        <f t="shared" si="34"/>
        <v>448.96462312238845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138.79632000000007</v>
      </c>
      <c r="AK36" s="14">
        <f t="shared" si="35"/>
        <v>36.021120886354588</v>
      </c>
      <c r="AL36" s="22">
        <f t="shared" si="4"/>
        <v>304.47370954373434</v>
      </c>
      <c r="AM36" s="62">
        <f t="shared" si="5"/>
        <v>597.80704287706772</v>
      </c>
      <c r="AN36" s="62">
        <f ca="1">AVERAGE(OFFSET($AM$3,0,0,'Données projet'!$E$10+1,1))-AVERAGE(OFFSET($H$3,0,0,'Données projet'!$E$10+1,1))</f>
        <v>384.44848355636935</v>
      </c>
      <c r="AO36" s="62">
        <f t="shared" si="36"/>
        <v>203.5274665601915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141.99999999999997</v>
      </c>
      <c r="BE36" s="14">
        <f>BD36*VLOOKUP('Données projet'!$B$11,Paramètres!$A$1:$I$89,3,0)*VLOOKUP('Données projet'!$B$11,Paramètres!$A$1:$I$89,5,0)</f>
        <v>110.75999999999998</v>
      </c>
      <c r="BF36" s="14">
        <f t="shared" si="37"/>
        <v>29.509974682362923</v>
      </c>
      <c r="BG36" s="22">
        <f t="shared" si="7"/>
        <v>244.30353923844871</v>
      </c>
      <c r="BH36" s="62">
        <f t="shared" si="8"/>
        <v>537.63687257178208</v>
      </c>
      <c r="BI36" s="62">
        <f ca="1">AVERAGE(OFFSET($BH$3,0,0,'Données projet'!$E$11+1,1))-AVERAGE(OFFSET($H$3,0,0,'Données projet'!$E$11+1,1))</f>
        <v>220.70608186257931</v>
      </c>
      <c r="BJ36" s="62">
        <f t="shared" si="38"/>
        <v>208.79744153433245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9.4871794871794854</v>
      </c>
      <c r="BY36" s="13">
        <f>IF('Données projet'!$A$114&gt;35,BY35+BX36-CG35,IF(A36&lt;'Données projet'!$A$114,$BV$205^A36,IF(A36='Données projet'!$A$114,'Données projet'!$B$114,BY35+BX36-CG35)))</f>
        <v>222.05128205128199</v>
      </c>
      <c r="BZ36" s="14">
        <f>BY36*VLOOKUP('Données projet'!$B$12,Paramètres!$A$1:$I$89,3,0)*VLOOKUP('Données projet'!$B$12,Paramètres!$A$1:$I$89,5,0)</f>
        <v>148.95199999999997</v>
      </c>
      <c r="CA36" s="14">
        <f t="shared" si="39"/>
        <v>38.34032676523853</v>
      </c>
      <c r="CB36" s="22">
        <f t="shared" si="10"/>
        <v>326.20080244945706</v>
      </c>
      <c r="CC36" s="62">
        <f t="shared" si="11"/>
        <v>619.53413578279037</v>
      </c>
      <c r="CD36" s="62">
        <f ca="1">AVERAGE(OFFSET($CC$3,0,0,'Données projet'!$E$12+1,1))-AVERAGE(OFFSET($H$3,0,0,'Données projet'!$E$12+1,1))</f>
        <v>310.47303518828346</v>
      </c>
      <c r="CE36" s="62">
        <f t="shared" si="40"/>
        <v>247.30353382335278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13.6</v>
      </c>
      <c r="N37" s="14">
        <f>IF('Données projet'!$A$36&gt;35,N36+M37-V36,IF(A37&lt;'Données projet'!$A$36,$K$205^A37,IF(A37='Données projet'!$A$36,'Données projet'!$B$36,N36+M37-V36)))</f>
        <v>208.40000000000006</v>
      </c>
      <c r="O37" s="14">
        <f>N37*VLOOKUP('Données projet'!$B$9,Paramètres!$A$1:$I$89,3,0)*VLOOKUP('Données projet'!$B$9,Paramètres!$A$1:$I$89,5,0)</f>
        <v>182.0582400000001</v>
      </c>
      <c r="P37" s="14">
        <f t="shared" si="33"/>
        <v>45.779803189729343</v>
      </c>
      <c r="Q37" s="22">
        <f t="shared" si="53"/>
        <v>396.81792522211208</v>
      </c>
      <c r="R37" s="62">
        <f t="shared" si="0"/>
        <v>690.15125855544534</v>
      </c>
      <c r="S37" s="62">
        <f ca="1">AVERAGE(OFFSET($R$3,0,0,'Données projet'!$E$9+1,1))-AVERAGE(OFFSET($H$3,0,0,'Données projet'!$E$9+1,1))</f>
        <v>285.16422150773082</v>
      </c>
      <c r="T37" s="62">
        <f t="shared" si="34"/>
        <v>448.96462312238845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148.56816000000006</v>
      </c>
      <c r="AK37" s="14">
        <f t="shared" si="35"/>
        <v>38.253013425360628</v>
      </c>
      <c r="AL37" s="22">
        <f t="shared" si="4"/>
        <v>325.38021038250321</v>
      </c>
      <c r="AM37" s="62">
        <f t="shared" si="5"/>
        <v>618.71354371583652</v>
      </c>
      <c r="AN37" s="62">
        <f ca="1">AVERAGE(OFFSET($AM$3,0,0,'Données projet'!$E$10+1,1))-AVERAGE(OFFSET($H$3,0,0,'Données projet'!$E$10+1,1))</f>
        <v>384.44848355636935</v>
      </c>
      <c r="AO37" s="62">
        <f t="shared" si="36"/>
        <v>203.5274665601915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153.49999999999997</v>
      </c>
      <c r="BE37" s="14">
        <f>BD37*VLOOKUP('Données projet'!$B$11,Paramètres!$A$1:$I$89,3,0)*VLOOKUP('Données projet'!$B$11,Paramètres!$A$1:$I$89,5,0)</f>
        <v>119.72999999999998</v>
      </c>
      <c r="BF37" s="14">
        <f t="shared" si="37"/>
        <v>31.612017974790529</v>
      </c>
      <c r="BG37" s="22">
        <f t="shared" si="7"/>
        <v>263.58734797276014</v>
      </c>
      <c r="BH37" s="62">
        <f t="shared" si="8"/>
        <v>556.92068130609346</v>
      </c>
      <c r="BI37" s="62">
        <f ca="1">AVERAGE(OFFSET($BH$3,0,0,'Données projet'!$E$11+1,1))-AVERAGE(OFFSET($H$3,0,0,'Données projet'!$E$11+1,1))</f>
        <v>220.70608186257931</v>
      </c>
      <c r="BJ37" s="62">
        <f t="shared" si="38"/>
        <v>208.79744153433245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9.4871794871794854</v>
      </c>
      <c r="BY37" s="13">
        <f>IF('Données projet'!$A$114&gt;35,BY36+BX37-CG36,IF(A37&lt;'Données projet'!$A$114,$BV$205^A37,IF(A37='Données projet'!$A$114,'Données projet'!$B$114,BY36+BX37-CG36)))</f>
        <v>231.53846153846146</v>
      </c>
      <c r="BZ37" s="14">
        <f>BY37*VLOOKUP('Données projet'!$B$12,Paramètres!$A$1:$I$89,3,0)*VLOOKUP('Données projet'!$B$12,Paramètres!$A$1:$I$89,5,0)</f>
        <v>155.31599999999997</v>
      </c>
      <c r="CA37" s="14">
        <f t="shared" si="39"/>
        <v>39.784206160846679</v>
      </c>
      <c r="CB37" s="22">
        <f t="shared" si="10"/>
        <v>339.79952573014128</v>
      </c>
      <c r="CC37" s="62">
        <f t="shared" si="11"/>
        <v>633.1328590634746</v>
      </c>
      <c r="CD37" s="62">
        <f ca="1">AVERAGE(OFFSET($CC$3,0,0,'Données projet'!$E$12+1,1))-AVERAGE(OFFSET($H$3,0,0,'Données projet'!$E$12+1,1))</f>
        <v>310.47303518828346</v>
      </c>
      <c r="CE37" s="62">
        <f t="shared" si="40"/>
        <v>247.30353382335278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222</v>
      </c>
      <c r="L38" s="13">
        <f>VLOOKUP(A38,'Données projet'!$A$35:$I$55,9,0)</f>
        <v>13.6</v>
      </c>
      <c r="M38" s="13">
        <f t="array" ref="M38">INDEX(L:L,MIN(IF(ISNUMBER(L38:L234),ROW(L38:L234),"")))</f>
        <v>13.6</v>
      </c>
      <c r="N38" s="14">
        <f>IF('Données projet'!$A$36&gt;35,N37+M38-V37,IF(A38&lt;'Données projet'!$A$36,$K$205^A38,IF(A38='Données projet'!$A$36,'Données projet'!$B$36,N37+M38-V37)))</f>
        <v>222.00000000000006</v>
      </c>
      <c r="O38" s="14">
        <f>N38*VLOOKUP('Données projet'!$B$9,Paramètres!$A$1:$I$89,3,0)*VLOOKUP('Données projet'!$B$9,Paramètres!$A$1:$I$89,5,0)</f>
        <v>193.93920000000008</v>
      </c>
      <c r="P38" s="14">
        <f t="shared" si="33"/>
        <v>48.409811198069384</v>
      </c>
      <c r="Q38" s="22">
        <f t="shared" si="53"/>
        <v>422.09119450330428</v>
      </c>
      <c r="R38" s="62">
        <f t="shared" si="0"/>
        <v>715.42452783663759</v>
      </c>
      <c r="S38" s="62">
        <f ca="1">AVERAGE(OFFSET($R$3,0,0,'Données projet'!$E$9+1,1))-AVERAGE(OFFSET($H$3,0,0,'Données projet'!$E$9+1,1))</f>
        <v>285.16422150773082</v>
      </c>
      <c r="T38" s="62">
        <f t="shared" si="34"/>
        <v>448.96462312238845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158.34000000000006</v>
      </c>
      <c r="AK38" s="14">
        <f t="shared" si="35"/>
        <v>40.467870812652819</v>
      </c>
      <c r="AL38" s="22">
        <f t="shared" si="4"/>
        <v>346.25704166537042</v>
      </c>
      <c r="AM38" s="62">
        <f t="shared" si="5"/>
        <v>639.59037499870374</v>
      </c>
      <c r="AN38" s="62">
        <f ca="1">AVERAGE(OFFSET($AM$3,0,0,'Données projet'!$E$10+1,1))-AVERAGE(OFFSET($H$3,0,0,'Données projet'!$E$10+1,1))</f>
        <v>384.44848355636935</v>
      </c>
      <c r="AO38" s="62">
        <f t="shared" si="36"/>
        <v>203.5274665601915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164.99999999999997</v>
      </c>
      <c r="BE38" s="14">
        <f>BD38*VLOOKUP('Données projet'!$B$11,Paramètres!$A$1:$I$89,3,0)*VLOOKUP('Données projet'!$B$11,Paramètres!$A$1:$I$89,5,0)</f>
        <v>128.69999999999999</v>
      </c>
      <c r="BF38" s="14">
        <f t="shared" si="37"/>
        <v>33.695792019186115</v>
      </c>
      <c r="BG38" s="22">
        <f t="shared" si="7"/>
        <v>282.83933776674911</v>
      </c>
      <c r="BH38" s="62">
        <f t="shared" si="8"/>
        <v>576.17267110008243</v>
      </c>
      <c r="BI38" s="62">
        <f ca="1">AVERAGE(OFFSET($BH$3,0,0,'Données projet'!$E$11+1,1))-AVERAGE(OFFSET($H$3,0,0,'Données projet'!$E$11+1,1))</f>
        <v>220.70608186257931</v>
      </c>
      <c r="BJ38" s="62">
        <f t="shared" si="38"/>
        <v>208.79744153433245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241.02564102564102</v>
      </c>
      <c r="BW38" s="13">
        <f>VLOOKUP(A38,'Données projet'!$A$113:$I$133,9,0)</f>
        <v>9.4871794871794854</v>
      </c>
      <c r="BX38" s="13">
        <f t="array" ref="BX38">INDEX(BW:BW,MIN(IF(ISNUMBER(BW38:BW234),ROW(BW38:BW234),"")))</f>
        <v>9.4871794871794854</v>
      </c>
      <c r="BY38" s="13">
        <f>IF('Données projet'!$A$114&gt;35,BY37+BX38-CG37,IF(A38&lt;'Données projet'!$A$114,$BV$205^A38,IF(A38='Données projet'!$A$114,'Données projet'!$B$114,BY37+BX38-CG37)))</f>
        <v>241.02564102564094</v>
      </c>
      <c r="BZ38" s="14">
        <f>BY38*VLOOKUP('Données projet'!$B$12,Paramètres!$A$1:$I$89,3,0)*VLOOKUP('Données projet'!$B$12,Paramètres!$A$1:$I$89,5,0)</f>
        <v>161.67999999999995</v>
      </c>
      <c r="CA38" s="14">
        <f t="shared" si="39"/>
        <v>41.221213432630442</v>
      </c>
      <c r="CB38" s="22">
        <f t="shared" si="10"/>
        <v>353.3862800618312</v>
      </c>
      <c r="CC38" s="62">
        <f t="shared" si="11"/>
        <v>646.71961339516452</v>
      </c>
      <c r="CD38" s="62">
        <f ca="1">AVERAGE(OFFSET($CC$3,0,0,'Données projet'!$E$12+1,1))-AVERAGE(OFFSET($H$3,0,0,'Données projet'!$E$12+1,1))</f>
        <v>310.47303518828346</v>
      </c>
      <c r="CE38" s="62">
        <f t="shared" si="40"/>
        <v>247.30353382335278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44.871794871794869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12.4</v>
      </c>
      <c r="N39" s="14">
        <f>IF('Données projet'!$A$36&gt;35,N38+M39-V38,IF(A39&lt;'Données projet'!$A$36,$K$205^A39,IF(A39='Données projet'!$A$36,'Données projet'!$B$36,N38+M39-V38)))</f>
        <v>234.40000000000006</v>
      </c>
      <c r="O39" s="14">
        <f>N39*VLOOKUP('Données projet'!$B$9,Paramètres!$A$1:$I$89,3,0)*VLOOKUP('Données projet'!$B$9,Paramètres!$A$1:$I$89,5,0)</f>
        <v>204.77184000000005</v>
      </c>
      <c r="P39" s="14">
        <f t="shared" si="33"/>
        <v>50.791430258117089</v>
      </c>
      <c r="Q39" s="22">
        <f t="shared" si="53"/>
        <v>445.10602903288731</v>
      </c>
      <c r="R39" s="62">
        <f t="shared" si="0"/>
        <v>738.43936236622062</v>
      </c>
      <c r="S39" s="62">
        <f ca="1">AVERAGE(OFFSET($R$3,0,0,'Données projet'!$E$9+1,1))-AVERAGE(OFFSET($H$3,0,0,'Données projet'!$E$9+1,1))</f>
        <v>285.16422150773082</v>
      </c>
      <c r="T39" s="62">
        <f t="shared" si="34"/>
        <v>448.96462312238845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117.80496000000005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552.78498149130326</v>
      </c>
      <c r="AN39" s="62">
        <f ca="1">AVERAGE(OFFSET($AM$3,0,0,'Données projet'!$E$10+1,1))-AVERAGE(OFFSET($H$3,0,0,'Données projet'!$E$10+1,1))</f>
        <v>384.44848355636935</v>
      </c>
      <c r="AO39" s="62">
        <f t="shared" si="36"/>
        <v>203.5274665601915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176.49999999999997</v>
      </c>
      <c r="BE39" s="14">
        <f>BD39*VLOOKUP('Données projet'!$B$11,Paramètres!$A$1:$I$89,3,0)*VLOOKUP('Données projet'!$B$11,Paramètres!$A$1:$I$89,5,0)</f>
        <v>137.66999999999999</v>
      </c>
      <c r="BF39" s="14">
        <f t="shared" si="37"/>
        <v>35.762714965854656</v>
      </c>
      <c r="BG39" s="22">
        <f t="shared" si="7"/>
        <v>302.06197856553018</v>
      </c>
      <c r="BH39" s="62">
        <f t="shared" si="8"/>
        <v>595.3953118988635</v>
      </c>
      <c r="BI39" s="62">
        <f ca="1">AVERAGE(OFFSET($BH$3,0,0,'Données projet'!$E$11+1,1))-AVERAGE(OFFSET($H$3,0,0,'Données projet'!$E$11+1,1))</f>
        <v>220.70608186257931</v>
      </c>
      <c r="BJ39" s="62">
        <f t="shared" si="38"/>
        <v>208.79744153433245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8.8461538461538449</v>
      </c>
      <c r="BY39" s="13">
        <f>IF('Données projet'!$A$114&gt;35,BY38+BX39-CG38,IF(A39&lt;'Données projet'!$A$114,$BV$205^A39,IF(A39='Données projet'!$A$114,'Données projet'!$B$114,BY38+BX39-CG38)))</f>
        <v>204.99999999999991</v>
      </c>
      <c r="BZ39" s="14">
        <f>BY39*VLOOKUP('Données projet'!$B$12,Paramètres!$A$1:$I$89,3,0)*VLOOKUP('Données projet'!$B$12,Paramètres!$A$1:$I$89,5,0)</f>
        <v>137.51399999999995</v>
      </c>
      <c r="CA39" s="14">
        <f t="shared" si="39"/>
        <v>35.726905311681854</v>
      </c>
      <c r="CB39" s="22">
        <f t="shared" si="10"/>
        <v>301.72791008451242</v>
      </c>
      <c r="CC39" s="62">
        <f t="shared" si="11"/>
        <v>595.06124341784573</v>
      </c>
      <c r="CD39" s="62">
        <f ca="1">AVERAGE(OFFSET($CC$3,0,0,'Données projet'!$E$12+1,1))-AVERAGE(OFFSET($H$3,0,0,'Données projet'!$E$12+1,1))</f>
        <v>310.47303518828346</v>
      </c>
      <c r="CE39" s="62">
        <f t="shared" si="40"/>
        <v>247.30353382335278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12.4</v>
      </c>
      <c r="N40" s="14">
        <f>IF('Données projet'!$A$36&gt;35,N39+M40-V39,IF(A40&lt;'Données projet'!$A$36,$K$205^A40,IF(A40='Données projet'!$A$36,'Données projet'!$B$36,N39+M40-V39)))</f>
        <v>246.80000000000007</v>
      </c>
      <c r="O40" s="14">
        <f>N40*VLOOKUP('Données projet'!$B$9,Paramètres!$A$1:$I$89,3,0)*VLOOKUP('Données projet'!$B$9,Paramètres!$A$1:$I$89,5,0)</f>
        <v>215.60448000000008</v>
      </c>
      <c r="P40" s="14">
        <f t="shared" si="33"/>
        <v>53.158421929211947</v>
      </c>
      <c r="Q40" s="22">
        <f t="shared" si="53"/>
        <v>468.09538752671097</v>
      </c>
      <c r="R40" s="62">
        <f t="shared" si="0"/>
        <v>761.42872086004422</v>
      </c>
      <c r="S40" s="62">
        <f ca="1">AVERAGE(OFFSET($R$3,0,0,'Données projet'!$E$9+1,1))-AVERAGE(OFFSET($H$3,0,0,'Données projet'!$E$9+1,1))</f>
        <v>285.16422150773082</v>
      </c>
      <c r="T40" s="62">
        <f t="shared" si="34"/>
        <v>448.96462312238845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127.93872000000005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574.53993500762533</v>
      </c>
      <c r="AN40" s="62">
        <f ca="1">AVERAGE(OFFSET($AM$3,0,0,'Données projet'!$E$10+1,1))-AVERAGE(OFFSET($H$3,0,0,'Données projet'!$E$10+1,1))</f>
        <v>384.44848355636935</v>
      </c>
      <c r="AO40" s="62">
        <f t="shared" si="36"/>
        <v>203.5274665601915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187.99999999999997</v>
      </c>
      <c r="BE40" s="14">
        <f>BD40*VLOOKUP('Données projet'!$B$11,Paramètres!$A$1:$I$89,3,0)*VLOOKUP('Données projet'!$B$11,Paramètres!$A$1:$I$89,5,0)</f>
        <v>146.63999999999999</v>
      </c>
      <c r="BF40" s="14">
        <f t="shared" si="37"/>
        <v>37.814009712703026</v>
      </c>
      <c r="BG40" s="22">
        <f t="shared" si="7"/>
        <v>321.25740024962437</v>
      </c>
      <c r="BH40" s="62">
        <f t="shared" si="8"/>
        <v>614.59073358295768</v>
      </c>
      <c r="BI40" s="62">
        <f ca="1">AVERAGE(OFFSET($BH$3,0,0,'Données projet'!$E$11+1,1))-AVERAGE(OFFSET($H$3,0,0,'Données projet'!$E$11+1,1))</f>
        <v>220.70608186257931</v>
      </c>
      <c r="BJ40" s="62">
        <f t="shared" si="38"/>
        <v>208.79744153433245</v>
      </c>
      <c r="BK40" s="16">
        <f>IF(ISNA(VLOOKUP(A40,'Données projet'!$A$87:$I$107,3,0)),0,VLOOKUP(A40,'Données projet'!$A$87:$I$107,3,0))</f>
        <v>3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8.8461538461538449</v>
      </c>
      <c r="BY40" s="13">
        <f>IF('Données projet'!$A$114&gt;35,BY39+BX40-CG39,IF(A40&lt;'Données projet'!$A$114,$BV$205^A40,IF(A40='Données projet'!$A$114,'Données projet'!$B$114,BY39+BX40-CG39)))</f>
        <v>213.84615384615375</v>
      </c>
      <c r="BZ40" s="14">
        <f>BY40*VLOOKUP('Données projet'!$B$12,Paramètres!$A$1:$I$89,3,0)*VLOOKUP('Données projet'!$B$12,Paramètres!$A$1:$I$89,5,0)</f>
        <v>143.44799999999995</v>
      </c>
      <c r="CA40" s="14">
        <f t="shared" si="39"/>
        <v>37.085771907810681</v>
      </c>
      <c r="CB40" s="22">
        <f t="shared" si="10"/>
        <v>314.42965273943685</v>
      </c>
      <c r="CC40" s="62">
        <f t="shared" si="11"/>
        <v>607.76298607277022</v>
      </c>
      <c r="CD40" s="62">
        <f ca="1">AVERAGE(OFFSET($CC$3,0,0,'Données projet'!$E$12+1,1))-AVERAGE(OFFSET($H$3,0,0,'Données projet'!$E$12+1,1))</f>
        <v>310.47303518828346</v>
      </c>
      <c r="CE40" s="62">
        <f t="shared" si="40"/>
        <v>247.30353382335278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12.4</v>
      </c>
      <c r="N41" s="14">
        <f>IF('Données projet'!$A$36&gt;35,N40+M41-V40,IF(A41&lt;'Données projet'!$A$36,$K$205^A41,IF(A41='Données projet'!$A$36,'Données projet'!$B$36,N40+M41-V40)))</f>
        <v>259.20000000000005</v>
      </c>
      <c r="O41" s="14">
        <f>N41*VLOOKUP('Données projet'!$B$9,Paramètres!$A$1:$I$89,3,0)*VLOOKUP('Données projet'!$B$9,Paramètres!$A$1:$I$89,5,0)</f>
        <v>226.43712000000008</v>
      </c>
      <c r="P41" s="14">
        <f t="shared" si="33"/>
        <v>55.51160499337535</v>
      </c>
      <c r="Q41" s="22">
        <f t="shared" si="53"/>
        <v>491.0606960301289</v>
      </c>
      <c r="R41" s="62">
        <f t="shared" si="0"/>
        <v>784.39402936346221</v>
      </c>
      <c r="S41" s="62">
        <f ca="1">AVERAGE(OFFSET($R$3,0,0,'Données projet'!$E$9+1,1))-AVERAGE(OFFSET($H$3,0,0,'Données projet'!$E$9+1,1))</f>
        <v>285.16422150773082</v>
      </c>
      <c r="T41" s="62">
        <f t="shared" si="34"/>
        <v>448.96462312238845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138.07248000000004</v>
      </c>
      <c r="AK41" s="14">
        <f t="shared" si="35"/>
        <v>35.85508207677799</v>
      </c>
      <c r="AL41" s="22">
        <f t="shared" si="4"/>
        <v>302.92383728372175</v>
      </c>
      <c r="AM41" s="62">
        <f t="shared" si="5"/>
        <v>596.25717061705507</v>
      </c>
      <c r="AN41" s="62">
        <f ca="1">AVERAGE(OFFSET($AM$3,0,0,'Données projet'!$E$10+1,1))-AVERAGE(OFFSET($H$3,0,0,'Données projet'!$E$10+1,1))</f>
        <v>384.44848355636935</v>
      </c>
      <c r="AO41" s="62">
        <f t="shared" si="36"/>
        <v>203.5274665601915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163.14285714285711</v>
      </c>
      <c r="BE41" s="14">
        <f>BD41*VLOOKUP('Données projet'!$B$11,Paramètres!$A$1:$I$89,3,0)*VLOOKUP('Données projet'!$B$11,Paramètres!$A$1:$I$89,5,0)</f>
        <v>127.25142857142855</v>
      </c>
      <c r="BF41" s="14">
        <f t="shared" si="37"/>
        <v>33.360457439554281</v>
      </c>
      <c r="BG41" s="22">
        <f t="shared" si="7"/>
        <v>279.73236813579507</v>
      </c>
      <c r="BH41" s="62">
        <f t="shared" si="8"/>
        <v>573.06570146912838</v>
      </c>
      <c r="BI41" s="62">
        <f ca="1">AVERAGE(OFFSET($BH$3,0,0,'Données projet'!$E$11+1,1))-AVERAGE(OFFSET($H$3,0,0,'Données projet'!$E$11+1,1))</f>
        <v>220.70608186257931</v>
      </c>
      <c r="BJ41" s="62">
        <f t="shared" si="38"/>
        <v>208.79744153433245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8.8461538461538449</v>
      </c>
      <c r="BY41" s="13">
        <f>IF('Données projet'!$A$114&gt;35,BY40+BX41-CG40,IF(A41&lt;'Données projet'!$A$114,$BV$205^A41,IF(A41='Données projet'!$A$114,'Données projet'!$B$114,BY40+BX41-CG40)))</f>
        <v>222.69230769230759</v>
      </c>
      <c r="BZ41" s="14">
        <f>BY41*VLOOKUP('Données projet'!$B$12,Paramètres!$A$1:$I$89,3,0)*VLOOKUP('Données projet'!$B$12,Paramètres!$A$1:$I$89,5,0)</f>
        <v>149.38199999999995</v>
      </c>
      <c r="CA41" s="14">
        <f t="shared" si="39"/>
        <v>38.438109175583776</v>
      </c>
      <c r="CB41" s="22">
        <f t="shared" si="10"/>
        <v>327.1200234808083</v>
      </c>
      <c r="CC41" s="62">
        <f t="shared" si="11"/>
        <v>620.45335681414167</v>
      </c>
      <c r="CD41" s="62">
        <f ca="1">AVERAGE(OFFSET($CC$3,0,0,'Données projet'!$E$12+1,1))-AVERAGE(OFFSET($H$3,0,0,'Données projet'!$E$12+1,1))</f>
        <v>310.47303518828346</v>
      </c>
      <c r="CE41" s="62">
        <f t="shared" si="40"/>
        <v>247.30353382335278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12.4</v>
      </c>
      <c r="N42" s="14">
        <f>IF('Données projet'!$A$36&gt;35,N41+M42-V41,IF(A42&lt;'Données projet'!$A$36,$K$205^A42,IF(A42='Données projet'!$A$36,'Données projet'!$B$36,N41+M42-V41)))</f>
        <v>271.60000000000002</v>
      </c>
      <c r="O42" s="14">
        <f>N42*VLOOKUP('Données projet'!$B$9,Paramètres!$A$1:$I$89,3,0)*VLOOKUP('Données projet'!$B$9,Paramètres!$A$1:$I$89,5,0)</f>
        <v>237.26976000000005</v>
      </c>
      <c r="P42" s="14">
        <f t="shared" si="33"/>
        <v>57.851715465848002</v>
      </c>
      <c r="Q42" s="22">
        <f t="shared" si="53"/>
        <v>514.00323643635204</v>
      </c>
      <c r="R42" s="62">
        <f t="shared" si="0"/>
        <v>807.33656976968541</v>
      </c>
      <c r="S42" s="62">
        <f ca="1">AVERAGE(OFFSET($R$3,0,0,'Données projet'!$E$9+1,1))-AVERAGE(OFFSET($H$3,0,0,'Données projet'!$E$9+1,1))</f>
        <v>285.16422150773082</v>
      </c>
      <c r="T42" s="62">
        <f t="shared" si="34"/>
        <v>448.96462312238845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148.20624000000004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617.93977141159837</v>
      </c>
      <c r="AN42" s="62">
        <f ca="1">AVERAGE(OFFSET($AM$3,0,0,'Données projet'!$E$10+1,1))-AVERAGE(OFFSET($H$3,0,0,'Données projet'!$E$10+1,1))</f>
        <v>384.44848355636935</v>
      </c>
      <c r="AO42" s="62">
        <f t="shared" si="36"/>
        <v>203.5274665601915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174.28571428571425</v>
      </c>
      <c r="BE42" s="14">
        <f>BD42*VLOOKUP('Données projet'!$B$11,Paramètres!$A$1:$I$89,3,0)*VLOOKUP('Données projet'!$B$11,Paramètres!$A$1:$I$89,5,0)</f>
        <v>135.94285714285712</v>
      </c>
      <c r="BF42" s="14">
        <f t="shared" si="37"/>
        <v>35.365986273808367</v>
      </c>
      <c r="BG42" s="22">
        <f t="shared" si="7"/>
        <v>298.36290228402572</v>
      </c>
      <c r="BH42" s="62">
        <f t="shared" si="8"/>
        <v>591.69623561735898</v>
      </c>
      <c r="BI42" s="62">
        <f ca="1">AVERAGE(OFFSET($BH$3,0,0,'Données projet'!$E$11+1,1))-AVERAGE(OFFSET($H$3,0,0,'Données projet'!$E$11+1,1))</f>
        <v>220.70608186257931</v>
      </c>
      <c r="BJ42" s="62">
        <f t="shared" si="38"/>
        <v>208.79744153433245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8.8461538461538449</v>
      </c>
      <c r="BY42" s="13">
        <f>IF('Données projet'!$A$114&gt;35,BY41+BX42-CG41,IF(A42&lt;'Données projet'!$A$114,$BV$205^A42,IF(A42='Données projet'!$A$114,'Données projet'!$B$114,BY41+BX42-CG41)))</f>
        <v>231.53846153846143</v>
      </c>
      <c r="BZ42" s="14">
        <f>BY42*VLOOKUP('Données projet'!$B$12,Paramètres!$A$1:$I$89,3,0)*VLOOKUP('Données projet'!$B$12,Paramètres!$A$1:$I$89,5,0)</f>
        <v>155.31599999999995</v>
      </c>
      <c r="CA42" s="14">
        <f t="shared" si="39"/>
        <v>39.784206160846679</v>
      </c>
      <c r="CB42" s="22">
        <f t="shared" si="10"/>
        <v>339.79952573014117</v>
      </c>
      <c r="CC42" s="62">
        <f t="shared" si="11"/>
        <v>633.13285906347448</v>
      </c>
      <c r="CD42" s="62">
        <f ca="1">AVERAGE(OFFSET($CC$3,0,0,'Données projet'!$E$12+1,1))-AVERAGE(OFFSET($H$3,0,0,'Données projet'!$E$12+1,1))</f>
        <v>310.47303518828346</v>
      </c>
      <c r="CE42" s="62">
        <f t="shared" si="40"/>
        <v>247.30353382335278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284</v>
      </c>
      <c r="L43" s="13">
        <f>VLOOKUP(A43,'Données projet'!$A$35:$I$55,9,0)</f>
        <v>12.4</v>
      </c>
      <c r="M43" s="13">
        <f t="array" ref="M43">INDEX(L:L,MIN(IF(ISNUMBER(L43:L239),ROW(L43:L239),"")))</f>
        <v>12.4</v>
      </c>
      <c r="N43" s="14">
        <f>IF('Données projet'!$A$36&gt;35,N42+M43-V42,IF(A43&lt;'Données projet'!$A$36,$K$205^A43,IF(A43='Données projet'!$A$36,'Données projet'!$B$36,N42+M43-V42)))</f>
        <v>284</v>
      </c>
      <c r="O43" s="14">
        <f>N43*VLOOKUP('Données projet'!$B$9,Paramètres!$A$1:$I$89,3,0)*VLOOKUP('Données projet'!$B$9,Paramètres!$A$1:$I$89,5,0)</f>
        <v>248.10240000000005</v>
      </c>
      <c r="P43" s="14">
        <f t="shared" si="33"/>
        <v>60.179418356999925</v>
      </c>
      <c r="Q43" s="22">
        <f t="shared" si="53"/>
        <v>536.92416697177498</v>
      </c>
      <c r="R43" s="62">
        <f t="shared" si="0"/>
        <v>830.25750030510835</v>
      </c>
      <c r="S43" s="62">
        <f ca="1">AVERAGE(OFFSET($R$3,0,0,'Données projet'!$E$9+1,1))-AVERAGE(OFFSET($H$3,0,0,'Données projet'!$E$9+1,1))</f>
        <v>285.16422150773082</v>
      </c>
      <c r="T43" s="62">
        <f t="shared" si="34"/>
        <v>448.96462312238845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94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158.34000000000003</v>
      </c>
      <c r="AK43" s="14">
        <f t="shared" si="35"/>
        <v>40.467870812652819</v>
      </c>
      <c r="AL43" s="22">
        <f t="shared" si="4"/>
        <v>346.25704166537042</v>
      </c>
      <c r="AM43" s="62">
        <f t="shared" si="5"/>
        <v>639.59037499870374</v>
      </c>
      <c r="AN43" s="62">
        <f ca="1">AVERAGE(OFFSET($AM$3,0,0,'Données projet'!$E$10+1,1))-AVERAGE(OFFSET($H$3,0,0,'Données projet'!$E$10+1,1))</f>
        <v>384.44848355636935</v>
      </c>
      <c r="AO43" s="62">
        <f t="shared" si="36"/>
        <v>203.5274665601915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185.42857142857139</v>
      </c>
      <c r="BE43" s="14">
        <f>BD43*VLOOKUP('Données projet'!$B$11,Paramètres!$A$1:$I$89,3,0)*VLOOKUP('Données projet'!$B$11,Paramètres!$A$1:$I$89,5,0)</f>
        <v>144.63428571428568</v>
      </c>
      <c r="BF43" s="14">
        <f t="shared" si="37"/>
        <v>37.356634728420524</v>
      </c>
      <c r="BG43" s="22">
        <f t="shared" si="7"/>
        <v>316.96751977104663</v>
      </c>
      <c r="BH43" s="62">
        <f t="shared" si="8"/>
        <v>610.30085310437994</v>
      </c>
      <c r="BI43" s="62">
        <f ca="1">AVERAGE(OFFSET($BH$3,0,0,'Données projet'!$E$11+1,1))-AVERAGE(OFFSET($H$3,0,0,'Données projet'!$E$11+1,1))</f>
        <v>220.70608186257931</v>
      </c>
      <c r="BJ43" s="62">
        <f t="shared" si="38"/>
        <v>208.79744153433245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240.38461538461539</v>
      </c>
      <c r="BW43" s="13">
        <f>VLOOKUP(A43,'Données projet'!$A$113:$I$133,9,0)</f>
        <v>8.8461538461538449</v>
      </c>
      <c r="BX43" s="13">
        <f t="array" ref="BX43">INDEX(BW:BW,MIN(IF(ISNUMBER(BW43:BW239),ROW(BW43:BW239),"")))</f>
        <v>8.8461538461538449</v>
      </c>
      <c r="BY43" s="13">
        <f>IF('Données projet'!$A$114&gt;35,BY42+BX43-CG42,IF(A43&lt;'Données projet'!$A$114,$BV$205^A43,IF(A43='Données projet'!$A$114,'Données projet'!$B$114,BY42+BX43-CG42)))</f>
        <v>240.38461538461527</v>
      </c>
      <c r="BZ43" s="14">
        <f>BY43*VLOOKUP('Données projet'!$B$12,Paramètres!$A$1:$I$89,3,0)*VLOOKUP('Données projet'!$B$12,Paramètres!$A$1:$I$89,5,0)</f>
        <v>161.24999999999994</v>
      </c>
      <c r="CA43" s="14">
        <f t="shared" si="39"/>
        <v>41.124328571986396</v>
      </c>
      <c r="CB43" s="22">
        <f t="shared" si="10"/>
        <v>352.46862226287612</v>
      </c>
      <c r="CC43" s="62">
        <f t="shared" si="11"/>
        <v>645.80195559620938</v>
      </c>
      <c r="CD43" s="62">
        <f ca="1">AVERAGE(OFFSET($CC$3,0,0,'Données projet'!$E$12+1,1))-AVERAGE(OFFSET($H$3,0,0,'Données projet'!$E$12+1,1))</f>
        <v>310.47303518828346</v>
      </c>
      <c r="CE43" s="62">
        <f t="shared" si="40"/>
        <v>247.30353382335278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</v>
      </c>
      <c r="N44" s="14">
        <f>IF('Données projet'!$A$36&gt;35,N43+M44-V43,IF(A44&lt;'Données projet'!$A$36,$K$205^A44,IF(A44='Données projet'!$A$36,'Données projet'!$B$36,N43+M44-V43)))</f>
        <v>201</v>
      </c>
      <c r="O44" s="14">
        <f>N44*VLOOKUP('Données projet'!$B$9,Paramètres!$A$1:$I$89,3,0)*VLOOKUP('Données projet'!$B$9,Paramètres!$A$1:$I$89,5,0)</f>
        <v>175.59360000000004</v>
      </c>
      <c r="P44" s="14">
        <f t="shared" si="33"/>
        <v>44.340433728638573</v>
      </c>
      <c r="Q44" s="22">
        <f t="shared" si="53"/>
        <v>383.05177541071225</v>
      </c>
      <c r="R44" s="62">
        <f t="shared" si="0"/>
        <v>676.38510874404551</v>
      </c>
      <c r="S44" s="62">
        <f ca="1">AVERAGE(OFFSET($R$3,0,0,'Données projet'!$E$9+1,1))-AVERAGE(OFFSET($H$3,0,0,'Données projet'!$E$9+1,1))</f>
        <v>285.16422150773082</v>
      </c>
      <c r="T44" s="62">
        <f t="shared" si="34"/>
        <v>448.96462312238845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168.65472000000003</v>
      </c>
      <c r="AK44" s="14">
        <f t="shared" si="35"/>
        <v>42.78858644059585</v>
      </c>
      <c r="AL44" s="22">
        <f t="shared" si="4"/>
        <v>368.2637587173711</v>
      </c>
      <c r="AM44" s="62">
        <f t="shared" si="5"/>
        <v>661.59709205070442</v>
      </c>
      <c r="AN44" s="62">
        <f ca="1">AVERAGE(OFFSET($AM$3,0,0,'Données projet'!$E$10+1,1))-AVERAGE(OFFSET($H$3,0,0,'Données projet'!$E$10+1,1))</f>
        <v>384.44848355636935</v>
      </c>
      <c r="AO44" s="62">
        <f t="shared" si="36"/>
        <v>203.5274665601915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196.57142857142853</v>
      </c>
      <c r="BE44" s="14">
        <f>BD44*VLOOKUP('Données projet'!$B$11,Paramètres!$A$1:$I$89,3,0)*VLOOKUP('Données projet'!$B$11,Paramètres!$A$1:$I$89,5,0)</f>
        <v>153.32571428571427</v>
      </c>
      <c r="BF44" s="14">
        <f t="shared" si="37"/>
        <v>39.33339883761419</v>
      </c>
      <c r="BG44" s="22">
        <f t="shared" si="7"/>
        <v>335.54795535646372</v>
      </c>
      <c r="BH44" s="62">
        <f t="shared" si="8"/>
        <v>628.88128868979697</v>
      </c>
      <c r="BI44" s="62">
        <f ca="1">AVERAGE(OFFSET($BH$3,0,0,'Données projet'!$E$11+1,1))-AVERAGE(OFFSET($H$3,0,0,'Données projet'!$E$11+1,1))</f>
        <v>220.70608186257931</v>
      </c>
      <c r="BJ44" s="62">
        <f t="shared" si="38"/>
        <v>208.79744153433245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8.2051282051282044</v>
      </c>
      <c r="BY44" s="13">
        <f>IF('Données projet'!$A$114&gt;35,BY43+BX44-CG43,IF(A44&lt;'Données projet'!$A$114,$BV$205^A44,IF(A44='Données projet'!$A$114,'Données projet'!$B$114,BY43+BX44-CG43)))</f>
        <v>248.58974358974348</v>
      </c>
      <c r="BZ44" s="14">
        <f>BY44*VLOOKUP('Données projet'!$B$12,Paramètres!$A$1:$I$89,3,0)*VLOOKUP('Données projet'!$B$12,Paramètres!$A$1:$I$89,5,0)</f>
        <v>166.75399999999993</v>
      </c>
      <c r="CA44" s="14">
        <f t="shared" si="39"/>
        <v>42.362213871941911</v>
      </c>
      <c r="CB44" s="22">
        <f t="shared" si="10"/>
        <v>364.21073916029871</v>
      </c>
      <c r="CC44" s="62">
        <f t="shared" si="11"/>
        <v>657.54407249363203</v>
      </c>
      <c r="CD44" s="62">
        <f ca="1">AVERAGE(OFFSET($CC$3,0,0,'Données projet'!$E$12+1,1))-AVERAGE(OFFSET($H$3,0,0,'Données projet'!$E$12+1,1))</f>
        <v>310.47303518828346</v>
      </c>
      <c r="CE44" s="62">
        <f t="shared" si="40"/>
        <v>247.30353382335278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</v>
      </c>
      <c r="N45" s="14">
        <f>IF('Données projet'!$A$36&gt;35,N44+M45-V44,IF(A45&lt;'Données projet'!$A$36,$K$205^A45,IF(A45='Données projet'!$A$36,'Données projet'!$B$36,N44+M45-V44)))</f>
        <v>212</v>
      </c>
      <c r="O45" s="14">
        <f>N45*VLOOKUP('Données projet'!$B$9,Paramètres!$A$1:$I$89,3,0)*VLOOKUP('Données projet'!$B$9,Paramètres!$A$1:$I$89,5,0)</f>
        <v>185.20320000000004</v>
      </c>
      <c r="P45" s="14">
        <f t="shared" si="33"/>
        <v>46.477875402099386</v>
      </c>
      <c r="Q45" s="22">
        <f t="shared" si="53"/>
        <v>403.51120632532314</v>
      </c>
      <c r="R45" s="62">
        <f t="shared" si="0"/>
        <v>696.84453965865646</v>
      </c>
      <c r="S45" s="62">
        <f ca="1">AVERAGE(OFFSET($R$3,0,0,'Données projet'!$E$9+1,1))-AVERAGE(OFFSET($H$3,0,0,'Données projet'!$E$9+1,1))</f>
        <v>285.16422150773082</v>
      </c>
      <c r="T45" s="62">
        <f t="shared" si="34"/>
        <v>448.96462312238845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178.96944000000002</v>
      </c>
      <c r="AK45" s="14">
        <f t="shared" si="35"/>
        <v>45.092828990632619</v>
      </c>
      <c r="AL45" s="22">
        <f t="shared" si="4"/>
        <v>390.24178515868516</v>
      </c>
      <c r="AM45" s="62">
        <f t="shared" si="5"/>
        <v>683.57511849201842</v>
      </c>
      <c r="AN45" s="62">
        <f ca="1">AVERAGE(OFFSET($AM$3,0,0,'Données projet'!$E$10+1,1))-AVERAGE(OFFSET($H$3,0,0,'Données projet'!$E$10+1,1))</f>
        <v>384.44848355636935</v>
      </c>
      <c r="AO45" s="62">
        <f t="shared" si="36"/>
        <v>203.5274665601915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207.71428571428567</v>
      </c>
      <c r="BE45" s="14">
        <f>BD45*VLOOKUP('Données projet'!$B$11,Paramètres!$A$1:$I$89,3,0)*VLOOKUP('Données projet'!$B$11,Paramètres!$A$1:$I$89,5,0)</f>
        <v>162.01714285714283</v>
      </c>
      <c r="BF45" s="14">
        <f t="shared" si="37"/>
        <v>41.297155335096676</v>
      </c>
      <c r="BG45" s="22">
        <f t="shared" si="7"/>
        <v>354.10573601815048</v>
      </c>
      <c r="BH45" s="62">
        <f t="shared" si="8"/>
        <v>647.43906935148379</v>
      </c>
      <c r="BI45" s="62">
        <f ca="1">AVERAGE(OFFSET($BH$3,0,0,'Données projet'!$E$11+1,1))-AVERAGE(OFFSET($H$3,0,0,'Données projet'!$E$11+1,1))</f>
        <v>220.70608186257931</v>
      </c>
      <c r="BJ45" s="62">
        <f t="shared" si="38"/>
        <v>208.79744153433245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8.2051282051282044</v>
      </c>
      <c r="BY45" s="13">
        <f>IF('Données projet'!$A$114&gt;35,BY44+BX45-CG44,IF(A45&lt;'Données projet'!$A$114,$BV$205^A45,IF(A45='Données projet'!$A$114,'Données projet'!$B$114,BY44+BX45-CG44)))</f>
        <v>256.79487179487171</v>
      </c>
      <c r="BZ45" s="14">
        <f>BY45*VLOOKUP('Données projet'!$B$12,Paramètres!$A$1:$I$89,3,0)*VLOOKUP('Données projet'!$B$12,Paramètres!$A$1:$I$89,5,0)</f>
        <v>172.25799999999995</v>
      </c>
      <c r="CA45" s="14">
        <f t="shared" si="39"/>
        <v>43.595351454520554</v>
      </c>
      <c r="CB45" s="22">
        <f t="shared" si="10"/>
        <v>375.94458711662327</v>
      </c>
      <c r="CC45" s="62">
        <f t="shared" si="11"/>
        <v>669.27792044995658</v>
      </c>
      <c r="CD45" s="62">
        <f ca="1">AVERAGE(OFFSET($CC$3,0,0,'Données projet'!$E$12+1,1))-AVERAGE(OFFSET($H$3,0,0,'Données projet'!$E$12+1,1))</f>
        <v>310.47303518828346</v>
      </c>
      <c r="CE45" s="62">
        <f t="shared" si="40"/>
        <v>247.30353382335278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</v>
      </c>
      <c r="N46" s="14">
        <f>IF('Données projet'!$A$36&gt;35,N45+M46-V45,IF(A46&lt;'Données projet'!$A$36,$K$205^A46,IF(A46='Données projet'!$A$36,'Données projet'!$B$36,N45+M46-V45)))</f>
        <v>223</v>
      </c>
      <c r="O46" s="14">
        <f>N46*VLOOKUP('Données projet'!$B$9,Paramètres!$A$1:$I$89,3,0)*VLOOKUP('Données projet'!$B$9,Paramètres!$A$1:$I$89,5,0)</f>
        <v>194.81280000000001</v>
      </c>
      <c r="P46" s="14">
        <f t="shared" si="33"/>
        <v>48.602440540253859</v>
      </c>
      <c r="Q46" s="22">
        <f t="shared" si="53"/>
        <v>423.94821060760881</v>
      </c>
      <c r="R46" s="62">
        <f t="shared" si="0"/>
        <v>717.28154394094213</v>
      </c>
      <c r="S46" s="62">
        <f ca="1">AVERAGE(OFFSET($R$3,0,0,'Données projet'!$E$9+1,1))-AVERAGE(OFFSET($H$3,0,0,'Données projet'!$E$9+1,1))</f>
        <v>285.16422150773082</v>
      </c>
      <c r="T46" s="62">
        <f t="shared" si="34"/>
        <v>448.96462312238845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189.28416000000001</v>
      </c>
      <c r="AK46" s="14">
        <f t="shared" si="35"/>
        <v>47.381656039514027</v>
      </c>
      <c r="AL46" s="22">
        <f t="shared" si="4"/>
        <v>412.19296293548695</v>
      </c>
      <c r="AM46" s="62">
        <f t="shared" si="5"/>
        <v>705.52629626882026</v>
      </c>
      <c r="AN46" s="62">
        <f ca="1">AVERAGE(OFFSET($AM$3,0,0,'Données projet'!$E$10+1,1))-AVERAGE(OFFSET($H$3,0,0,'Données projet'!$E$10+1,1))</f>
        <v>384.44848355636935</v>
      </c>
      <c r="AO46" s="62">
        <f t="shared" si="36"/>
        <v>203.5274665601915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218.8571428571428</v>
      </c>
      <c r="BE46" s="14">
        <f>BD46*VLOOKUP('Données projet'!$B$11,Paramètres!$A$1:$I$89,3,0)*VLOOKUP('Données projet'!$B$11,Paramètres!$A$1:$I$89,5,0)</f>
        <v>170.70857142857139</v>
      </c>
      <c r="BF46" s="14">
        <f t="shared" si="37"/>
        <v>43.248681576985412</v>
      </c>
      <c r="BG46" s="22">
        <f t="shared" si="7"/>
        <v>372.64221565134471</v>
      </c>
      <c r="BH46" s="62">
        <f t="shared" si="8"/>
        <v>665.97554898467797</v>
      </c>
      <c r="BI46" s="62">
        <f ca="1">AVERAGE(OFFSET($BH$3,0,0,'Données projet'!$E$11+1,1))-AVERAGE(OFFSET($H$3,0,0,'Données projet'!$E$11+1,1))</f>
        <v>220.70608186257931</v>
      </c>
      <c r="BJ46" s="62">
        <f t="shared" si="38"/>
        <v>208.79744153433245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8.2051282051282044</v>
      </c>
      <c r="BY46" s="13">
        <f>IF('Données projet'!$A$114&gt;35,BY45+BX46-CG45,IF(A46&lt;'Données projet'!$A$114,$BV$205^A46,IF(A46='Données projet'!$A$114,'Données projet'!$B$114,BY45+BX46-CG45)))</f>
        <v>264.99999999999989</v>
      </c>
      <c r="BZ46" s="14">
        <f>BY46*VLOOKUP('Données projet'!$B$12,Paramètres!$A$1:$I$89,3,0)*VLOOKUP('Données projet'!$B$12,Paramètres!$A$1:$I$89,5,0)</f>
        <v>177.76199999999992</v>
      </c>
      <c r="CA46" s="14">
        <f t="shared" si="39"/>
        <v>44.823910420796174</v>
      </c>
      <c r="CB46" s="22">
        <f t="shared" si="10"/>
        <v>387.67046064955321</v>
      </c>
      <c r="CC46" s="62">
        <f t="shared" si="11"/>
        <v>681.00379398288646</v>
      </c>
      <c r="CD46" s="62">
        <f ca="1">AVERAGE(OFFSET($CC$3,0,0,'Données projet'!$E$12+1,1))-AVERAGE(OFFSET($H$3,0,0,'Données projet'!$E$12+1,1))</f>
        <v>310.47303518828346</v>
      </c>
      <c r="CE46" s="62">
        <f t="shared" si="40"/>
        <v>247.30353382335278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</v>
      </c>
      <c r="N47" s="14">
        <f>IF('Données projet'!$A$36&gt;35,N46+M47-V46,IF(A47&lt;'Données projet'!$A$36,$K$205^A47,IF(A47='Données projet'!$A$36,'Données projet'!$B$36,N46+M47-V46)))</f>
        <v>234</v>
      </c>
      <c r="O47" s="14">
        <f>N47*VLOOKUP('Données projet'!$B$9,Paramètres!$A$1:$I$89,3,0)*VLOOKUP('Données projet'!$B$9,Paramètres!$A$1:$I$89,5,0)</f>
        <v>204.42240000000004</v>
      </c>
      <c r="P47" s="14">
        <f t="shared" si="33"/>
        <v>50.714836797527262</v>
      </c>
      <c r="Q47" s="22">
        <f t="shared" si="53"/>
        <v>444.36402075569339</v>
      </c>
      <c r="R47" s="62">
        <f t="shared" si="0"/>
        <v>737.6973540890267</v>
      </c>
      <c r="S47" s="62">
        <f ca="1">AVERAGE(OFFSET($R$3,0,0,'Données projet'!$E$9+1,1))-AVERAGE(OFFSET($H$3,0,0,'Données projet'!$E$9+1,1))</f>
        <v>285.16422150773082</v>
      </c>
      <c r="T47" s="62">
        <f t="shared" si="34"/>
        <v>448.96462312238845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199.59888000000004</v>
      </c>
      <c r="AK47" s="14">
        <f t="shared" si="35"/>
        <v>49.656003392529037</v>
      </c>
      <c r="AL47" s="22">
        <f t="shared" si="4"/>
        <v>434.11892190865478</v>
      </c>
      <c r="AM47" s="62">
        <f t="shared" si="5"/>
        <v>727.45225524198804</v>
      </c>
      <c r="AN47" s="62">
        <f ca="1">AVERAGE(OFFSET($AM$3,0,0,'Données projet'!$E$10+1,1))-AVERAGE(OFFSET($H$3,0,0,'Données projet'!$E$10+1,1))</f>
        <v>384.44848355636935</v>
      </c>
      <c r="AO47" s="62">
        <f t="shared" si="36"/>
        <v>203.5274665601915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229.99999999999994</v>
      </c>
      <c r="BE47" s="14">
        <f>BD47*VLOOKUP('Données projet'!$B$11,Paramètres!$A$1:$I$89,3,0)*VLOOKUP('Données projet'!$B$11,Paramètres!$A$1:$I$89,5,0)</f>
        <v>179.39999999999995</v>
      </c>
      <c r="BF47" s="14">
        <f t="shared" si="37"/>
        <v>45.188671291872232</v>
      </c>
      <c r="BG47" s="22">
        <f t="shared" si="7"/>
        <v>391.15860250001066</v>
      </c>
      <c r="BH47" s="62">
        <f t="shared" si="8"/>
        <v>684.49193583334397</v>
      </c>
      <c r="BI47" s="62">
        <f ca="1">AVERAGE(OFFSET($BH$3,0,0,'Données projet'!$E$11+1,1))-AVERAGE(OFFSET($H$3,0,0,'Données projet'!$E$11+1,1))</f>
        <v>220.70608186257931</v>
      </c>
      <c r="BJ47" s="62">
        <f t="shared" si="38"/>
        <v>208.79744153433245</v>
      </c>
      <c r="BK47" s="16">
        <f>IF(ISNA(VLOOKUP(A47,'Données projet'!$A$87:$I$107,3,0)),0,VLOOKUP(A47,'Données projet'!$A$87:$I$107,3,0))</f>
        <v>4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8.2051282051282044</v>
      </c>
      <c r="BY47" s="13">
        <f>IF('Données projet'!$A$114&gt;35,BY46+BX47-CG46,IF(A47&lt;'Données projet'!$A$114,$BV$205^A47,IF(A47='Données projet'!$A$114,'Données projet'!$B$114,BY46+BX47-CG46)))</f>
        <v>273.20512820512806</v>
      </c>
      <c r="BZ47" s="14">
        <f>BY47*VLOOKUP('Données projet'!$B$12,Paramètres!$A$1:$I$89,3,0)*VLOOKUP('Données projet'!$B$12,Paramètres!$A$1:$I$89,5,0)</f>
        <v>183.26599999999991</v>
      </c>
      <c r="CA47" s="14">
        <f t="shared" si="39"/>
        <v>46.048048805304745</v>
      </c>
      <c r="CB47" s="22">
        <f t="shared" si="10"/>
        <v>399.3886350025723</v>
      </c>
      <c r="CC47" s="62">
        <f t="shared" si="11"/>
        <v>692.72196833590556</v>
      </c>
      <c r="CD47" s="62">
        <f ca="1">AVERAGE(OFFSET($CC$3,0,0,'Données projet'!$E$12+1,1))-AVERAGE(OFFSET($H$3,0,0,'Données projet'!$E$12+1,1))</f>
        <v>310.47303518828346</v>
      </c>
      <c r="CE47" s="62">
        <f t="shared" si="40"/>
        <v>247.30353382335278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245</v>
      </c>
      <c r="L48" s="13">
        <f>VLOOKUP(A48,'Données projet'!$A$35:$I$55,9,0)</f>
        <v>11</v>
      </c>
      <c r="M48" s="13">
        <f t="array" ref="M48">INDEX(L:L,MIN(IF(ISNUMBER(L48:L244),ROW(L48:L244),"")))</f>
        <v>11</v>
      </c>
      <c r="N48" s="14">
        <f>IF('Données projet'!$A$36&gt;35,N47+M48-V47,IF(A48&lt;'Données projet'!$A$36,$K$205^A48,IF(A48='Données projet'!$A$36,'Données projet'!$B$36,N47+M48-V47)))</f>
        <v>245</v>
      </c>
      <c r="O48" s="14">
        <f>N48*VLOOKUP('Données projet'!$B$9,Paramètres!$A$1:$I$89,3,0)*VLOOKUP('Données projet'!$B$9,Paramètres!$A$1:$I$89,5,0)</f>
        <v>214.03200000000004</v>
      </c>
      <c r="P48" s="14">
        <f t="shared" si="33"/>
        <v>52.815701536972242</v>
      </c>
      <c r="Q48" s="22">
        <f t="shared" si="53"/>
        <v>464.75974684356009</v>
      </c>
      <c r="R48" s="62">
        <f t="shared" si="0"/>
        <v>758.09308017689341</v>
      </c>
      <c r="S48" s="62">
        <f ca="1">AVERAGE(OFFSET($R$3,0,0,'Données projet'!$E$9+1,1))-AVERAGE(OFFSET($H$3,0,0,'Données projet'!$E$9+1,1))</f>
        <v>285.16422150773082</v>
      </c>
      <c r="T48" s="62">
        <f t="shared" si="34"/>
        <v>448.96462312238845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209.91360000000006</v>
      </c>
      <c r="AK48" s="14">
        <f t="shared" si="35"/>
        <v>51.916704672341361</v>
      </c>
      <c r="AL48" s="22">
        <f t="shared" si="4"/>
        <v>456.02111397099458</v>
      </c>
      <c r="AM48" s="62">
        <f t="shared" si="5"/>
        <v>749.35444730432789</v>
      </c>
      <c r="AN48" s="62">
        <f ca="1">AVERAGE(OFFSET($AM$3,0,0,'Données projet'!$E$10+1,1))-AVERAGE(OFFSET($H$3,0,0,'Données projet'!$E$10+1,1))</f>
        <v>384.44848355636935</v>
      </c>
      <c r="AO48" s="62">
        <f t="shared" si="36"/>
        <v>203.5274665601915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197.37499999999994</v>
      </c>
      <c r="BE48" s="14">
        <f>BD48*VLOOKUP('Données projet'!$B$11,Paramètres!$A$1:$I$89,3,0)*VLOOKUP('Données projet'!$B$11,Paramètres!$A$1:$I$89,5,0)</f>
        <v>153.95249999999996</v>
      </c>
      <c r="BF48" s="14">
        <f t="shared" si="37"/>
        <v>39.475441267837397</v>
      </c>
      <c r="BG48" s="22">
        <f t="shared" si="7"/>
        <v>336.88699770815003</v>
      </c>
      <c r="BH48" s="62">
        <f t="shared" si="8"/>
        <v>630.2203310414834</v>
      </c>
      <c r="BI48" s="62">
        <f ca="1">AVERAGE(OFFSET($BH$3,0,0,'Données projet'!$E$11+1,1))-AVERAGE(OFFSET($H$3,0,0,'Données projet'!$E$11+1,1))</f>
        <v>220.70608186257931</v>
      </c>
      <c r="BJ48" s="62">
        <f t="shared" si="38"/>
        <v>208.79744153433245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281.41025641025641</v>
      </c>
      <c r="BW48" s="13">
        <f>VLOOKUP(A48,'Données projet'!$A$113:$I$133,9,0)</f>
        <v>8.2051282051282044</v>
      </c>
      <c r="BX48" s="13">
        <f t="array" ref="BX48">INDEX(BW:BW,MIN(IF(ISNUMBER(BW48:BW244),ROW(BW48:BW244),"")))</f>
        <v>8.2051282051282044</v>
      </c>
      <c r="BY48" s="13">
        <f>IF('Données projet'!$A$114&gt;35,BY47+BX48-CG47,IF(A48&lt;'Données projet'!$A$114,$BV$205^A48,IF(A48='Données projet'!$A$114,'Données projet'!$B$114,BY47+BX48-CG47)))</f>
        <v>281.41025641025624</v>
      </c>
      <c r="BZ48" s="14">
        <f>BY48*VLOOKUP('Données projet'!$B$12,Paramètres!$A$1:$I$89,3,0)*VLOOKUP('Données projet'!$B$12,Paramètres!$A$1:$I$89,5,0)</f>
        <v>188.7699999999999</v>
      </c>
      <c r="CA48" s="14">
        <f t="shared" si="39"/>
        <v>47.267914610633945</v>
      </c>
      <c r="CB48" s="22">
        <f t="shared" si="10"/>
        <v>411.09936794685387</v>
      </c>
      <c r="CC48" s="62">
        <f t="shared" si="11"/>
        <v>704.43270128018719</v>
      </c>
      <c r="CD48" s="62">
        <f ca="1">AVERAGE(OFFSET($CC$3,0,0,'Données projet'!$E$12+1,1))-AVERAGE(OFFSET($H$3,0,0,'Données projet'!$E$12+1,1))</f>
        <v>310.47303518828346</v>
      </c>
      <c r="CE48" s="62">
        <f t="shared" si="40"/>
        <v>247.30353382335278</v>
      </c>
      <c r="CF48" s="16">
        <f>IF(ISNA(VLOOKUP(A48,'Données projet'!$A$113:$I$133,3,0)),0,VLOOKUP(A48,'Données projet'!$A$113:$I$133,3,0))</f>
        <v>4</v>
      </c>
      <c r="CG48" s="16">
        <f>IF(ISNA(VLOOKUP(A48,'Données projet'!$A$113:$I$133,4,0)),0,VLOOKUP(A48,'Données projet'!$A$113:$I$133,4,0))</f>
        <v>28.205128205128204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9.6</v>
      </c>
      <c r="N49" s="14">
        <f>IF('Données projet'!$A$36&gt;35,N48+M49-V48,IF(A49&lt;'Données projet'!$A$36,$K$205^A49,IF(A49='Données projet'!$A$36,'Données projet'!$B$36,N48+M49-V48)))</f>
        <v>254.6</v>
      </c>
      <c r="O49" s="14">
        <f>N49*VLOOKUP('Données projet'!$B$9,Paramètres!$A$1:$I$89,3,0)*VLOOKUP('Données projet'!$B$9,Paramètres!$A$1:$I$89,5,0)</f>
        <v>222.41856000000004</v>
      </c>
      <c r="P49" s="14">
        <f t="shared" si="33"/>
        <v>54.640212826336217</v>
      </c>
      <c r="Q49" s="22">
        <f t="shared" si="53"/>
        <v>482.54402933920232</v>
      </c>
      <c r="R49" s="62">
        <f t="shared" si="0"/>
        <v>775.87736267253558</v>
      </c>
      <c r="S49" s="62">
        <f ca="1">AVERAGE(OFFSET($R$3,0,0,'Données projet'!$E$9+1,1))-AVERAGE(OFFSET($H$3,0,0,'Données projet'!$E$9+1,1))</f>
        <v>285.16422150773082</v>
      </c>
      <c r="T49" s="62">
        <f t="shared" si="34"/>
        <v>448.96462312238845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169.19760000000005</v>
      </c>
      <c r="AK49" s="14">
        <f t="shared" si="35"/>
        <v>42.910263223432885</v>
      </c>
      <c r="AL49" s="22">
        <f t="shared" si="4"/>
        <v>369.42119511414563</v>
      </c>
      <c r="AM49" s="62">
        <f t="shared" si="5"/>
        <v>662.75452844747895</v>
      </c>
      <c r="AN49" s="62">
        <f ca="1">AVERAGE(OFFSET($AM$3,0,0,'Données projet'!$E$10+1,1))-AVERAGE(OFFSET($H$3,0,0,'Données projet'!$E$10+1,1))</f>
        <v>384.44848355636935</v>
      </c>
      <c r="AO49" s="62">
        <f t="shared" si="36"/>
        <v>203.5274665601915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207.74999999999994</v>
      </c>
      <c r="BE49" s="14">
        <f>BD49*VLOOKUP('Données projet'!$B$11,Paramètres!$A$1:$I$89,3,0)*VLOOKUP('Données projet'!$B$11,Paramètres!$A$1:$I$89,5,0)</f>
        <v>162.04499999999996</v>
      </c>
      <c r="BF49" s="14">
        <f t="shared" si="37"/>
        <v>41.303429372463391</v>
      </c>
      <c r="BG49" s="22">
        <f t="shared" si="7"/>
        <v>354.16518115704031</v>
      </c>
      <c r="BH49" s="62">
        <f t="shared" si="8"/>
        <v>647.49851449037362</v>
      </c>
      <c r="BI49" s="62">
        <f ca="1">AVERAGE(OFFSET($BH$3,0,0,'Données projet'!$E$11+1,1))-AVERAGE(OFFSET($H$3,0,0,'Données projet'!$E$11+1,1))</f>
        <v>220.70608186257931</v>
      </c>
      <c r="BJ49" s="62">
        <f t="shared" si="38"/>
        <v>208.79744153433245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4.8717948717948669</v>
      </c>
      <c r="BY49" s="13">
        <f>IF('Données projet'!$A$114&gt;35,BY48+BX49-CG48,IF(A49&lt;'Données projet'!$A$114,$BV$205^A49,IF(A49='Données projet'!$A$114,'Données projet'!$B$114,BY48+BX49-CG48)))</f>
        <v>258.07692307692287</v>
      </c>
      <c r="BZ49" s="14">
        <f>BY49*VLOOKUP('Données projet'!$B$12,Paramètres!$A$1:$I$89,3,0)*VLOOKUP('Données projet'!$B$12,Paramètres!$A$1:$I$89,5,0)</f>
        <v>173.11799999999985</v>
      </c>
      <c r="CA49" s="14">
        <f t="shared" si="39"/>
        <v>43.787611467033614</v>
      </c>
      <c r="CB49" s="22">
        <f t="shared" si="10"/>
        <v>377.77727330508327</v>
      </c>
      <c r="CC49" s="62">
        <f t="shared" si="11"/>
        <v>671.11060663841658</v>
      </c>
      <c r="CD49" s="62">
        <f ca="1">AVERAGE(OFFSET($CC$3,0,0,'Données projet'!$E$12+1,1))-AVERAGE(OFFSET($H$3,0,0,'Données projet'!$E$12+1,1))</f>
        <v>310.47303518828346</v>
      </c>
      <c r="CE49" s="62">
        <f t="shared" si="40"/>
        <v>247.30353382335278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9.6</v>
      </c>
      <c r="N50" s="14">
        <f>IF('Données projet'!$A$36&gt;35,N49+M50-V49,IF(A50&lt;'Données projet'!$A$36,$K$205^A50,IF(A50='Données projet'!$A$36,'Données projet'!$B$36,N49+M50-V49)))</f>
        <v>264.2</v>
      </c>
      <c r="O50" s="14">
        <f>N50*VLOOKUP('Données projet'!$B$9,Paramètres!$A$1:$I$89,3,0)*VLOOKUP('Données projet'!$B$9,Paramètres!$A$1:$I$89,5,0)</f>
        <v>230.80512000000002</v>
      </c>
      <c r="P50" s="14">
        <f t="shared" si="33"/>
        <v>56.456731878408327</v>
      </c>
      <c r="Q50" s="22">
        <f t="shared" si="53"/>
        <v>500.3143920215611</v>
      </c>
      <c r="R50" s="62">
        <f t="shared" si="0"/>
        <v>793.64772535489442</v>
      </c>
      <c r="S50" s="62">
        <f ca="1">AVERAGE(OFFSET($R$3,0,0,'Données projet'!$E$9+1,1))-AVERAGE(OFFSET($H$3,0,0,'Données projet'!$E$9+1,1))</f>
        <v>285.16422150773082</v>
      </c>
      <c r="T50" s="62">
        <f t="shared" si="34"/>
        <v>448.96462312238845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179.15040000000005</v>
      </c>
      <c r="AK50" s="14">
        <f t="shared" si="35"/>
        <v>45.133113803437347</v>
      </c>
      <c r="AL50" s="22">
        <f t="shared" si="4"/>
        <v>390.62711987432004</v>
      </c>
      <c r="AM50" s="62">
        <f t="shared" si="5"/>
        <v>683.96045320765336</v>
      </c>
      <c r="AN50" s="62">
        <f ca="1">AVERAGE(OFFSET($AM$3,0,0,'Données projet'!$E$10+1,1))-AVERAGE(OFFSET($H$3,0,0,'Données projet'!$E$10+1,1))</f>
        <v>384.44848355636935</v>
      </c>
      <c r="AO50" s="62">
        <f t="shared" si="36"/>
        <v>203.5274665601915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218.12499999999994</v>
      </c>
      <c r="BE50" s="14">
        <f>BD50*VLOOKUP('Données projet'!$B$11,Paramètres!$A$1:$I$89,3,0)*VLOOKUP('Données projet'!$B$11,Paramètres!$A$1:$I$89,5,0)</f>
        <v>170.13749999999996</v>
      </c>
      <c r="BF50" s="14">
        <f t="shared" si="37"/>
        <v>43.120817562072411</v>
      </c>
      <c r="BG50" s="22">
        <f t="shared" si="7"/>
        <v>371.42490308727605</v>
      </c>
      <c r="BH50" s="62">
        <f t="shared" si="8"/>
        <v>664.75823642060936</v>
      </c>
      <c r="BI50" s="62">
        <f ca="1">AVERAGE(OFFSET($BH$3,0,0,'Données projet'!$E$11+1,1))-AVERAGE(OFFSET($H$3,0,0,'Données projet'!$E$11+1,1))</f>
        <v>220.70608186257931</v>
      </c>
      <c r="BJ50" s="62">
        <f t="shared" si="38"/>
        <v>208.79744153433245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4.8717948717948669</v>
      </c>
      <c r="BY50" s="13">
        <f>IF('Données projet'!$A$114&gt;35,BY49+BX50-CG49,IF(A50&lt;'Données projet'!$A$114,$BV$205^A50,IF(A50='Données projet'!$A$114,'Données projet'!$B$114,BY49+BX50-CG49)))</f>
        <v>262.94871794871773</v>
      </c>
      <c r="BZ50" s="14">
        <f>BY50*VLOOKUP('Données projet'!$B$12,Paramètres!$A$1:$I$89,3,0)*VLOOKUP('Données projet'!$B$12,Paramètres!$A$1:$I$89,5,0)</f>
        <v>176.38599999999985</v>
      </c>
      <c r="CA50" s="14">
        <f t="shared" si="39"/>
        <v>44.517191103060753</v>
      </c>
      <c r="CB50" s="22">
        <f t="shared" si="10"/>
        <v>384.73972450449719</v>
      </c>
      <c r="CC50" s="62">
        <f t="shared" si="11"/>
        <v>678.07305783783045</v>
      </c>
      <c r="CD50" s="62">
        <f ca="1">AVERAGE(OFFSET($CC$3,0,0,'Données projet'!$E$12+1,1))-AVERAGE(OFFSET($H$3,0,0,'Données projet'!$E$12+1,1))</f>
        <v>310.47303518828346</v>
      </c>
      <c r="CE50" s="62">
        <f t="shared" si="40"/>
        <v>247.30353382335278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9.6</v>
      </c>
      <c r="N51" s="14">
        <f>IF('Données projet'!$A$36&gt;35,N50+M51-V50,IF(A51&lt;'Données projet'!$A$36,$K$205^A51,IF(A51='Données projet'!$A$36,'Données projet'!$B$36,N50+M51-V50)))</f>
        <v>273.8</v>
      </c>
      <c r="O51" s="14">
        <f>N51*VLOOKUP('Données projet'!$B$9,Paramètres!$A$1:$I$89,3,0)*VLOOKUP('Données projet'!$B$9,Paramètres!$A$1:$I$89,5,0)</f>
        <v>239.19168000000005</v>
      </c>
      <c r="P51" s="14">
        <f t="shared" si="33"/>
        <v>58.265582363565784</v>
      </c>
      <c r="Q51" s="22">
        <f t="shared" si="53"/>
        <v>518.07139861654389</v>
      </c>
      <c r="R51" s="62">
        <f t="shared" si="0"/>
        <v>811.40473194987726</v>
      </c>
      <c r="S51" s="62">
        <f ca="1">AVERAGE(OFFSET($R$3,0,0,'Données projet'!$E$9+1,1))-AVERAGE(OFFSET($H$3,0,0,'Données projet'!$E$9+1,1))</f>
        <v>285.16422150773082</v>
      </c>
      <c r="T51" s="62">
        <f t="shared" si="34"/>
        <v>448.96462312238845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189.10320000000004</v>
      </c>
      <c r="AK51" s="14">
        <f t="shared" si="35"/>
        <v>47.341628542787163</v>
      </c>
      <c r="AL51" s="22">
        <f t="shared" si="4"/>
        <v>411.8080763786877</v>
      </c>
      <c r="AM51" s="62">
        <f t="shared" si="5"/>
        <v>705.14140971202096</v>
      </c>
      <c r="AN51" s="62">
        <f ca="1">AVERAGE(OFFSET($AM$3,0,0,'Données projet'!$E$10+1,1))-AVERAGE(OFFSET($H$3,0,0,'Données projet'!$E$10+1,1))</f>
        <v>384.44848355636935</v>
      </c>
      <c r="AO51" s="62">
        <f t="shared" si="36"/>
        <v>203.5274665601915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228.49999999999994</v>
      </c>
      <c r="BE51" s="14">
        <f>BD51*VLOOKUP('Données projet'!$B$11,Paramètres!$A$1:$I$89,3,0)*VLOOKUP('Données projet'!$B$11,Paramètres!$A$1:$I$89,5,0)</f>
        <v>178.22999999999996</v>
      </c>
      <c r="BF51" s="14">
        <f t="shared" si="37"/>
        <v>44.928167580487852</v>
      </c>
      <c r="BG51" s="22">
        <f t="shared" si="7"/>
        <v>388.66714186934956</v>
      </c>
      <c r="BH51" s="62">
        <f t="shared" si="8"/>
        <v>682.00047520268288</v>
      </c>
      <c r="BI51" s="62">
        <f ca="1">AVERAGE(OFFSET($BH$3,0,0,'Données projet'!$E$11+1,1))-AVERAGE(OFFSET($H$3,0,0,'Données projet'!$E$11+1,1))</f>
        <v>220.70608186257931</v>
      </c>
      <c r="BJ51" s="62">
        <f t="shared" si="38"/>
        <v>208.79744153433245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4.8717948717948669</v>
      </c>
      <c r="BY51" s="13">
        <f>IF('Données projet'!$A$114&gt;35,BY50+BX51-CG50,IF(A51&lt;'Données projet'!$A$114,$BV$205^A51,IF(A51='Données projet'!$A$114,'Données projet'!$B$114,BY50+BX51-CG50)))</f>
        <v>267.82051282051259</v>
      </c>
      <c r="BZ51" s="14">
        <f>BY51*VLOOKUP('Données projet'!$B$12,Paramètres!$A$1:$I$89,3,0)*VLOOKUP('Données projet'!$B$12,Paramètres!$A$1:$I$89,5,0)</f>
        <v>179.65399999999985</v>
      </c>
      <c r="CA51" s="14">
        <f t="shared" si="39"/>
        <v>45.245198923213763</v>
      </c>
      <c r="CB51" s="22">
        <f t="shared" si="10"/>
        <v>391.69943812459701</v>
      </c>
      <c r="CC51" s="62">
        <f t="shared" si="11"/>
        <v>685.03277145793027</v>
      </c>
      <c r="CD51" s="62">
        <f ca="1">AVERAGE(OFFSET($CC$3,0,0,'Données projet'!$E$12+1,1))-AVERAGE(OFFSET($H$3,0,0,'Données projet'!$E$12+1,1))</f>
        <v>310.47303518828346</v>
      </c>
      <c r="CE51" s="62">
        <f t="shared" si="40"/>
        <v>247.30353382335278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9.6</v>
      </c>
      <c r="N52" s="14">
        <f>IF('Données projet'!$A$36&gt;35,N51+M52-V51,IF(A52&lt;'Données projet'!$A$36,$K$205^A52,IF(A52='Données projet'!$A$36,'Données projet'!$B$36,N51+M52-V51)))</f>
        <v>283.40000000000003</v>
      </c>
      <c r="O52" s="14">
        <f>N52*VLOOKUP('Données projet'!$B$9,Paramètres!$A$1:$I$89,3,0)*VLOOKUP('Données projet'!$B$9,Paramètres!$A$1:$I$89,5,0)</f>
        <v>247.57824000000005</v>
      </c>
      <c r="P52" s="14">
        <f t="shared" si="33"/>
        <v>60.067063968069249</v>
      </c>
      <c r="Q52" s="22">
        <f t="shared" si="53"/>
        <v>535.81557107772062</v>
      </c>
      <c r="R52" s="62">
        <f t="shared" si="0"/>
        <v>829.14890441105399</v>
      </c>
      <c r="S52" s="62">
        <f ca="1">AVERAGE(OFFSET($R$3,0,0,'Données projet'!$E$9+1,1))-AVERAGE(OFFSET($H$3,0,0,'Données projet'!$E$9+1,1))</f>
        <v>285.16422150773082</v>
      </c>
      <c r="T52" s="62">
        <f t="shared" si="34"/>
        <v>448.96462312238845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199.05600000000004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726.29886194422556</v>
      </c>
      <c r="AN52" s="62">
        <f ca="1">AVERAGE(OFFSET($AM$3,0,0,'Données projet'!$E$10+1,1))-AVERAGE(OFFSET($H$3,0,0,'Données projet'!$E$10+1,1))</f>
        <v>384.44848355636935</v>
      </c>
      <c r="AO52" s="62">
        <f t="shared" si="36"/>
        <v>203.5274665601915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238.87499999999994</v>
      </c>
      <c r="BE52" s="14">
        <f>BD52*VLOOKUP('Données projet'!$B$11,Paramètres!$A$1:$I$89,3,0)*VLOOKUP('Données projet'!$B$11,Paramètres!$A$1:$I$89,5,0)</f>
        <v>186.32249999999996</v>
      </c>
      <c r="BF52" s="14">
        <f t="shared" si="37"/>
        <v>46.725987276254116</v>
      </c>
      <c r="BG52" s="22">
        <f t="shared" si="7"/>
        <v>405.89278200614257</v>
      </c>
      <c r="BH52" s="62">
        <f t="shared" si="8"/>
        <v>699.22611533947588</v>
      </c>
      <c r="BI52" s="62">
        <f ca="1">AVERAGE(OFFSET($BH$3,0,0,'Données projet'!$E$11+1,1))-AVERAGE(OFFSET($H$3,0,0,'Données projet'!$E$11+1,1))</f>
        <v>220.70608186257931</v>
      </c>
      <c r="BJ52" s="62">
        <f t="shared" si="38"/>
        <v>208.79744153433245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4.8717948717948669</v>
      </c>
      <c r="BY52" s="13">
        <f>IF('Données projet'!$A$114&gt;35,BY51+BX52-CG51,IF(A52&lt;'Données projet'!$A$114,$BV$205^A52,IF(A52='Données projet'!$A$114,'Données projet'!$B$114,BY51+BX52-CG51)))</f>
        <v>272.69230769230745</v>
      </c>
      <c r="BZ52" s="14">
        <f>BY52*VLOOKUP('Données projet'!$B$12,Paramètres!$A$1:$I$89,3,0)*VLOOKUP('Données projet'!$B$12,Paramètres!$A$1:$I$89,5,0)</f>
        <v>182.92199999999983</v>
      </c>
      <c r="CA52" s="14">
        <f t="shared" si="39"/>
        <v>45.971666817546755</v>
      </c>
      <c r="CB52" s="22">
        <f t="shared" si="10"/>
        <v>398.65646970722696</v>
      </c>
      <c r="CC52" s="62">
        <f t="shared" si="11"/>
        <v>691.98980304056022</v>
      </c>
      <c r="CD52" s="62">
        <f ca="1">AVERAGE(OFFSET($CC$3,0,0,'Données projet'!$E$12+1,1))-AVERAGE(OFFSET($H$3,0,0,'Données projet'!$E$12+1,1))</f>
        <v>310.47303518828346</v>
      </c>
      <c r="CE52" s="62">
        <f t="shared" si="40"/>
        <v>247.30353382335278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293</v>
      </c>
      <c r="L53" s="13">
        <f>VLOOKUP(A53,'Données projet'!$A$35:$I$55,9,0)</f>
        <v>9.6</v>
      </c>
      <c r="M53" s="13">
        <f t="array" ref="M53">INDEX(L:L,MIN(IF(ISNUMBER(L53:L249),ROW(L53:L249),"")))</f>
        <v>9.6</v>
      </c>
      <c r="N53" s="14">
        <f>IF('Données projet'!$A$36&gt;35,N52+M53-V52,IF(A53&lt;'Données projet'!$A$36,$K$205^A53,IF(A53='Données projet'!$A$36,'Données projet'!$B$36,N52+M53-V52)))</f>
        <v>293.00000000000006</v>
      </c>
      <c r="O53" s="14">
        <f>N53*VLOOKUP('Données projet'!$B$9,Paramètres!$A$1:$I$89,3,0)*VLOOKUP('Données projet'!$B$9,Paramètres!$A$1:$I$89,5,0)</f>
        <v>255.96480000000008</v>
      </c>
      <c r="P53" s="14">
        <f t="shared" si="33"/>
        <v>61.861454922966502</v>
      </c>
      <c r="Q53" s="22">
        <f t="shared" si="53"/>
        <v>553.54739399083348</v>
      </c>
      <c r="R53" s="62">
        <f t="shared" si="0"/>
        <v>846.88072732416686</v>
      </c>
      <c r="S53" s="62">
        <f ca="1">AVERAGE(OFFSET($R$3,0,0,'Données projet'!$E$9+1,1))-AVERAGE(OFFSET($H$3,0,0,'Données projet'!$E$9+1,1))</f>
        <v>285.16422150773082</v>
      </c>
      <c r="T53" s="62">
        <f t="shared" si="34"/>
        <v>448.96462312238845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747.43411921957727</v>
      </c>
      <c r="AN53" s="62">
        <f ca="1">AVERAGE(OFFSET($AM$3,0,0,'Données projet'!$E$10+1,1))-AVERAGE(OFFSET($H$3,0,0,'Données projet'!$E$10+1,1))</f>
        <v>384.44848355636935</v>
      </c>
      <c r="AO53" s="62">
        <f t="shared" si="36"/>
        <v>203.5274665601915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249.24999999999994</v>
      </c>
      <c r="BE53" s="14">
        <f>BD53*VLOOKUP('Données projet'!$B$11,Paramètres!$A$1:$I$89,3,0)*VLOOKUP('Données projet'!$B$11,Paramètres!$A$1:$I$89,5,0)</f>
        <v>194.41499999999996</v>
      </c>
      <c r="BF53" s="14">
        <f t="shared" si="37"/>
        <v>48.514737888684969</v>
      </c>
      <c r="BG53" s="22">
        <f t="shared" si="7"/>
        <v>423.1026268227929</v>
      </c>
      <c r="BH53" s="62">
        <f t="shared" si="8"/>
        <v>716.43596015612616</v>
      </c>
      <c r="BI53" s="62">
        <f ca="1">AVERAGE(OFFSET($BH$3,0,0,'Données projet'!$E$11+1,1))-AVERAGE(OFFSET($H$3,0,0,'Données projet'!$E$11+1,1))</f>
        <v>220.70608186257931</v>
      </c>
      <c r="BJ53" s="62">
        <f t="shared" si="38"/>
        <v>208.79744153433245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277.56410256410254</v>
      </c>
      <c r="BW53" s="13">
        <f>VLOOKUP(A53,'Données projet'!$A$113:$I$133,9,0)</f>
        <v>4.8717948717948669</v>
      </c>
      <c r="BX53" s="13">
        <f t="array" ref="BX53">INDEX(BW:BW,MIN(IF(ISNUMBER(BW53:BW249),ROW(BW53:BW249),"")))</f>
        <v>4.8717948717948669</v>
      </c>
      <c r="BY53" s="13">
        <f>IF('Données projet'!$A$114&gt;35,BY52+BX53-CG52,IF(A53&lt;'Données projet'!$A$114,$BV$205^A53,IF(A53='Données projet'!$A$114,'Données projet'!$B$114,BY52+BX53-CG52)))</f>
        <v>277.56410256410231</v>
      </c>
      <c r="BZ53" s="14">
        <f>BY53*VLOOKUP('Données projet'!$B$12,Paramètres!$A$1:$I$89,3,0)*VLOOKUP('Données projet'!$B$12,Paramètres!$A$1:$I$89,5,0)</f>
        <v>186.18999999999983</v>
      </c>
      <c r="CA53" s="14">
        <f t="shared" si="39"/>
        <v>46.696625471391734</v>
      </c>
      <c r="CB53" s="22">
        <f t="shared" si="10"/>
        <v>405.61087269600699</v>
      </c>
      <c r="CC53" s="62">
        <f t="shared" si="11"/>
        <v>698.94420602934031</v>
      </c>
      <c r="CD53" s="62">
        <f ca="1">AVERAGE(OFFSET($CC$3,0,0,'Données projet'!$E$12+1,1))-AVERAGE(OFFSET($H$3,0,0,'Données projet'!$E$12+1,1))</f>
        <v>310.47303518828346</v>
      </c>
      <c r="CE53" s="62">
        <f t="shared" si="40"/>
        <v>247.30353382335278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8.6</v>
      </c>
      <c r="N54" s="14">
        <f>IF('Données projet'!$A$36&gt;35,N53+M54-V53,IF(A54&lt;'Données projet'!$A$36,$K$205^A54,IF(A54='Données projet'!$A$36,'Données projet'!$B$36,N53+M54-V53)))</f>
        <v>301.60000000000008</v>
      </c>
      <c r="O54" s="14">
        <f>N54*VLOOKUP('Données projet'!$B$9,Paramètres!$A$1:$I$89,3,0)*VLOOKUP('Données projet'!$B$9,Paramètres!$A$1:$I$89,5,0)</f>
        <v>263.4777600000001</v>
      </c>
      <c r="P54" s="14">
        <f t="shared" si="33"/>
        <v>63.463121597633517</v>
      </c>
      <c r="Q54" s="22">
        <f t="shared" si="53"/>
        <v>569.42203544921188</v>
      </c>
      <c r="R54" s="62">
        <f t="shared" si="0"/>
        <v>862.75536878254525</v>
      </c>
      <c r="S54" s="62">
        <f ca="1">AVERAGE(OFFSET($R$3,0,0,'Données projet'!$E$9+1,1))-AVERAGE(OFFSET($H$3,0,0,'Données projet'!$E$9+1,1))</f>
        <v>285.16422150773082</v>
      </c>
      <c r="T54" s="62">
        <f t="shared" si="34"/>
        <v>448.96462312238845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218.23776000000004</v>
      </c>
      <c r="AK54" s="14">
        <f t="shared" si="35"/>
        <v>53.731692470599071</v>
      </c>
      <c r="AL54" s="22">
        <f t="shared" si="4"/>
        <v>473.68012971962668</v>
      </c>
      <c r="AM54" s="62">
        <f t="shared" si="5"/>
        <v>767.01346305295999</v>
      </c>
      <c r="AN54" s="62">
        <f ca="1">AVERAGE(OFFSET($AM$3,0,0,'Données projet'!$E$10+1,1))-AVERAGE(OFFSET($H$3,0,0,'Données projet'!$E$10+1,1))</f>
        <v>384.44848355636935</v>
      </c>
      <c r="AO54" s="62">
        <f t="shared" si="36"/>
        <v>203.5274665601915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259.62499999999994</v>
      </c>
      <c r="BE54" s="14">
        <f>BD54*VLOOKUP('Données projet'!$B$11,Paramètres!$A$1:$I$89,3,0)*VLOOKUP('Données projet'!$B$11,Paramètres!$A$1:$I$89,5,0)</f>
        <v>202.50749999999996</v>
      </c>
      <c r="BF54" s="14">
        <f t="shared" si="37"/>
        <v>50.294840086606349</v>
      </c>
      <c r="BG54" s="22">
        <f t="shared" si="7"/>
        <v>440.29740898417259</v>
      </c>
      <c r="BH54" s="62">
        <f t="shared" si="8"/>
        <v>733.63074231750591</v>
      </c>
      <c r="BI54" s="62">
        <f ca="1">AVERAGE(OFFSET($BH$3,0,0,'Données projet'!$E$11+1,1))-AVERAGE(OFFSET($H$3,0,0,'Données projet'!$E$11+1,1))</f>
        <v>220.70608186257931</v>
      </c>
      <c r="BJ54" s="62">
        <f t="shared" si="38"/>
        <v>208.79744153433245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7.1794871794871824</v>
      </c>
      <c r="BY54" s="13">
        <f>IF('Données projet'!$A$114&gt;35,BY53+BX54-CG53,IF(A54&lt;'Données projet'!$A$114,$BV$205^A54,IF(A54='Données projet'!$A$114,'Données projet'!$B$114,BY53+BX54-CG53)))</f>
        <v>284.7435897435895</v>
      </c>
      <c r="BZ54" s="14">
        <f>BY54*VLOOKUP('Données projet'!$B$12,Paramètres!$A$1:$I$89,3,0)*VLOOKUP('Données projet'!$B$12,Paramètres!$A$1:$I$89,5,0)</f>
        <v>191.00599999999986</v>
      </c>
      <c r="CA54" s="14">
        <f t="shared" si="39"/>
        <v>47.762296765314993</v>
      </c>
      <c r="CB54" s="22">
        <f t="shared" si="10"/>
        <v>415.85478353292336</v>
      </c>
      <c r="CC54" s="62">
        <f t="shared" si="11"/>
        <v>709.18811686625668</v>
      </c>
      <c r="CD54" s="62">
        <f ca="1">AVERAGE(OFFSET($CC$3,0,0,'Données projet'!$E$12+1,1))-AVERAGE(OFFSET($H$3,0,0,'Données projet'!$E$12+1,1))</f>
        <v>310.47303518828346</v>
      </c>
      <c r="CE54" s="62">
        <f t="shared" si="40"/>
        <v>247.30353382335278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8.6</v>
      </c>
      <c r="N55" s="14">
        <f>IF('Données projet'!$A$36&gt;35,N54+M55-V54,IF(A55&lt;'Données projet'!$A$36,$K$205^A55,IF(A55='Données projet'!$A$36,'Données projet'!$B$36,N54+M55-V54)))</f>
        <v>310.2000000000001</v>
      </c>
      <c r="O55" s="14">
        <f>N55*VLOOKUP('Données projet'!$B$9,Paramètres!$A$1:$I$89,3,0)*VLOOKUP('Données projet'!$B$9,Paramètres!$A$1:$I$89,5,0)</f>
        <v>270.99072000000012</v>
      </c>
      <c r="P55" s="14">
        <f t="shared" si="33"/>
        <v>65.059480235909817</v>
      </c>
      <c r="Q55" s="22">
        <f t="shared" si="53"/>
        <v>585.28743207754314</v>
      </c>
      <c r="R55" s="62">
        <f t="shared" si="0"/>
        <v>878.6207654108764</v>
      </c>
      <c r="S55" s="62">
        <f ca="1">AVERAGE(OFFSET($R$3,0,0,'Données projet'!$E$9+1,1))-AVERAGE(OFFSET($H$3,0,0,'Données projet'!$E$9+1,1))</f>
        <v>285.16422150773082</v>
      </c>
      <c r="T55" s="62">
        <f t="shared" si="34"/>
        <v>448.96462312238845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227.46672000000004</v>
      </c>
      <c r="AK55" s="14">
        <f t="shared" si="35"/>
        <v>55.734574592438989</v>
      </c>
      <c r="AL55" s="22">
        <f t="shared" si="4"/>
        <v>493.24225474849794</v>
      </c>
      <c r="AM55" s="62">
        <f t="shared" si="5"/>
        <v>786.57558808183126</v>
      </c>
      <c r="AN55" s="62">
        <f ca="1">AVERAGE(OFFSET($AM$3,0,0,'Données projet'!$E$10+1,1))-AVERAGE(OFFSET($H$3,0,0,'Données projet'!$E$10+1,1))</f>
        <v>384.44848355636935</v>
      </c>
      <c r="AO55" s="62">
        <f t="shared" si="36"/>
        <v>203.5274665601915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269.99999999999994</v>
      </c>
      <c r="BE55" s="14">
        <f>BD55*VLOOKUP('Données projet'!$B$11,Paramètres!$A$1:$I$89,3,0)*VLOOKUP('Données projet'!$B$11,Paramètres!$A$1:$I$89,5,0)</f>
        <v>210.59999999999997</v>
      </c>
      <c r="BF55" s="14">
        <f t="shared" si="37"/>
        <v>52.066679014659961</v>
      </c>
      <c r="BG55" s="22">
        <f t="shared" si="7"/>
        <v>457.47779928386598</v>
      </c>
      <c r="BH55" s="62">
        <f t="shared" si="8"/>
        <v>750.81113261719929</v>
      </c>
      <c r="BI55" s="62">
        <f ca="1">AVERAGE(OFFSET($BH$3,0,0,'Données projet'!$E$11+1,1))-AVERAGE(OFFSET($H$3,0,0,'Données projet'!$E$11+1,1))</f>
        <v>220.70608186257931</v>
      </c>
      <c r="BJ55" s="62">
        <f t="shared" si="38"/>
        <v>208.79744153433245</v>
      </c>
      <c r="BK55" s="16">
        <f>IF(ISNA(VLOOKUP(A55,'Données projet'!$A$87:$I$107,3,0)),0,VLOOKUP(A55,'Données projet'!$A$87:$I$107,3,0))</f>
        <v>5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7.1794871794871824</v>
      </c>
      <c r="BY55" s="13">
        <f>IF('Données projet'!$A$114&gt;35,BY54+BX55-CG54,IF(A55&lt;'Données projet'!$A$114,$BV$205^A55,IF(A55='Données projet'!$A$114,'Données projet'!$B$114,BY54+BX55-CG54)))</f>
        <v>291.92307692307668</v>
      </c>
      <c r="BZ55" s="14">
        <f>BY55*VLOOKUP('Données projet'!$B$12,Paramètres!$A$1:$I$89,3,0)*VLOOKUP('Données projet'!$B$12,Paramètres!$A$1:$I$89,5,0)</f>
        <v>195.82199999999983</v>
      </c>
      <c r="CA55" s="14">
        <f t="shared" si="39"/>
        <v>48.824844662150326</v>
      </c>
      <c r="CB55" s="22">
        <f t="shared" si="10"/>
        <v>426.09325445324481</v>
      </c>
      <c r="CC55" s="62">
        <f t="shared" si="11"/>
        <v>719.42658778657812</v>
      </c>
      <c r="CD55" s="62">
        <f ca="1">AVERAGE(OFFSET($CC$3,0,0,'Données projet'!$E$12+1,1))-AVERAGE(OFFSET($H$3,0,0,'Données projet'!$E$12+1,1))</f>
        <v>310.47303518828346</v>
      </c>
      <c r="CE55" s="62">
        <f t="shared" si="40"/>
        <v>247.30353382335278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8.6</v>
      </c>
      <c r="N56" s="14">
        <f>IF('Données projet'!$A$36&gt;35,N55+M56-V55,IF(A56&lt;'Données projet'!$A$36,$K$205^A56,IF(A56='Données projet'!$A$36,'Données projet'!$B$36,N55+M56-V55)))</f>
        <v>318.80000000000013</v>
      </c>
      <c r="O56" s="14">
        <f>N56*VLOOKUP('Données projet'!$B$9,Paramètres!$A$1:$I$89,3,0)*VLOOKUP('Données projet'!$B$9,Paramètres!$A$1:$I$89,5,0)</f>
        <v>278.50368000000014</v>
      </c>
      <c r="P56" s="14">
        <f t="shared" si="33"/>
        <v>66.650694905282236</v>
      </c>
      <c r="Q56" s="22">
        <f t="shared" si="53"/>
        <v>601.14386962670017</v>
      </c>
      <c r="R56" s="62">
        <f t="shared" si="0"/>
        <v>894.47720296003354</v>
      </c>
      <c r="S56" s="62">
        <f ca="1">AVERAGE(OFFSET($R$3,0,0,'Données projet'!$E$9+1,1))-AVERAGE(OFFSET($H$3,0,0,'Données projet'!$E$9+1,1))</f>
        <v>285.16422150773082</v>
      </c>
      <c r="T56" s="62">
        <f t="shared" si="34"/>
        <v>448.96462312238845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236.69568000000001</v>
      </c>
      <c r="AK56" s="14">
        <f t="shared" si="35"/>
        <v>57.72801732243034</v>
      </c>
      <c r="AL56" s="22">
        <f t="shared" si="4"/>
        <v>512.78793950323291</v>
      </c>
      <c r="AM56" s="62">
        <f t="shared" si="5"/>
        <v>806.12127283656628</v>
      </c>
      <c r="AN56" s="62">
        <f ca="1">AVERAGE(OFFSET($AM$3,0,0,'Données projet'!$E$10+1,1))-AVERAGE(OFFSET($H$3,0,0,'Données projet'!$E$10+1,1))</f>
        <v>384.44848355636935</v>
      </c>
      <c r="AO56" s="62">
        <f t="shared" si="36"/>
        <v>203.5274665601915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231.37499999999994</v>
      </c>
      <c r="BE56" s="14">
        <f>BD56*VLOOKUP('Données projet'!$B$11,Paramètres!$A$1:$I$89,3,0)*VLOOKUP('Données projet'!$B$11,Paramètres!$A$1:$I$89,5,0)</f>
        <v>180.47249999999997</v>
      </c>
      <c r="BF56" s="14">
        <f t="shared" si="37"/>
        <v>45.427292666837829</v>
      </c>
      <c r="BG56" s="22">
        <f t="shared" si="7"/>
        <v>393.44213889474253</v>
      </c>
      <c r="BH56" s="62">
        <f t="shared" si="8"/>
        <v>686.77547222807584</v>
      </c>
      <c r="BI56" s="62">
        <f ca="1">AVERAGE(OFFSET($BH$3,0,0,'Données projet'!$E$11+1,1))-AVERAGE(OFFSET($H$3,0,0,'Données projet'!$E$11+1,1))</f>
        <v>220.70608186257931</v>
      </c>
      <c r="BJ56" s="62">
        <f t="shared" si="38"/>
        <v>208.79744153433245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7.1794871794871824</v>
      </c>
      <c r="BY56" s="13">
        <f>IF('Données projet'!$A$114&gt;35,BY55+BX56-CG55,IF(A56&lt;'Données projet'!$A$114,$BV$205^A56,IF(A56='Données projet'!$A$114,'Données projet'!$B$114,BY55+BX56-CG55)))</f>
        <v>299.10256410256386</v>
      </c>
      <c r="BZ56" s="14">
        <f>BY56*VLOOKUP('Données projet'!$B$12,Paramètres!$A$1:$I$89,3,0)*VLOOKUP('Données projet'!$B$12,Paramètres!$A$1:$I$89,5,0)</f>
        <v>200.63799999999986</v>
      </c>
      <c r="CA56" s="14">
        <f t="shared" si="39"/>
        <v>49.884354814212465</v>
      </c>
      <c r="CB56" s="22">
        <f t="shared" si="10"/>
        <v>436.32643463475307</v>
      </c>
      <c r="CC56" s="62">
        <f t="shared" si="11"/>
        <v>729.65976796808638</v>
      </c>
      <c r="CD56" s="62">
        <f ca="1">AVERAGE(OFFSET($CC$3,0,0,'Données projet'!$E$12+1,1))-AVERAGE(OFFSET($H$3,0,0,'Données projet'!$E$12+1,1))</f>
        <v>310.47303518828346</v>
      </c>
      <c r="CE56" s="62">
        <f t="shared" si="40"/>
        <v>247.30353382335278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8.6</v>
      </c>
      <c r="N57" s="14">
        <f>IF('Données projet'!$A$36&gt;35,N56+M57-V56,IF(A57&lt;'Données projet'!$A$36,$K$205^A57,IF(A57='Données projet'!$A$36,'Données projet'!$B$36,N56+M57-V56)))</f>
        <v>327.40000000000015</v>
      </c>
      <c r="O57" s="14">
        <f>N57*VLOOKUP('Données projet'!$B$9,Paramètres!$A$1:$I$89,3,0)*VLOOKUP('Données projet'!$B$9,Paramètres!$A$1:$I$89,5,0)</f>
        <v>286.01664000000017</v>
      </c>
      <c r="P57" s="14">
        <f t="shared" si="33"/>
        <v>68.236920317502936</v>
      </c>
      <c r="Q57" s="22">
        <f t="shared" si="53"/>
        <v>616.99161755298462</v>
      </c>
      <c r="R57" s="62">
        <f t="shared" si="0"/>
        <v>910.32495088631799</v>
      </c>
      <c r="S57" s="62">
        <f ca="1">AVERAGE(OFFSET($R$3,0,0,'Données projet'!$E$9+1,1))-AVERAGE(OFFSET($H$3,0,0,'Données projet'!$E$9+1,1))</f>
        <v>285.16422150773082</v>
      </c>
      <c r="T57" s="62">
        <f t="shared" si="34"/>
        <v>448.96462312238845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245.92464000000001</v>
      </c>
      <c r="AK57" s="14">
        <f t="shared" si="35"/>
        <v>59.712430831913537</v>
      </c>
      <c r="AL57" s="22">
        <f t="shared" si="4"/>
        <v>532.31789836558266</v>
      </c>
      <c r="AM57" s="62">
        <f t="shared" si="5"/>
        <v>825.65123169891604</v>
      </c>
      <c r="AN57" s="62">
        <f ca="1">AVERAGE(OFFSET($AM$3,0,0,'Données projet'!$E$10+1,1))-AVERAGE(OFFSET($H$3,0,0,'Données projet'!$E$10+1,1))</f>
        <v>384.44848355636935</v>
      </c>
      <c r="AO57" s="62">
        <f t="shared" si="36"/>
        <v>203.5274665601915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240.74999999999994</v>
      </c>
      <c r="BE57" s="14">
        <f>BD57*VLOOKUP('Données projet'!$B$11,Paramètres!$A$1:$I$89,3,0)*VLOOKUP('Données projet'!$B$11,Paramètres!$A$1:$I$89,5,0)</f>
        <v>187.78499999999997</v>
      </c>
      <c r="BF57" s="14">
        <f t="shared" si="37"/>
        <v>47.049914090154054</v>
      </c>
      <c r="BG57" s="22">
        <f t="shared" si="7"/>
        <v>409.00414204035161</v>
      </c>
      <c r="BH57" s="62">
        <f t="shared" si="8"/>
        <v>702.33747537368492</v>
      </c>
      <c r="BI57" s="62">
        <f ca="1">AVERAGE(OFFSET($BH$3,0,0,'Données projet'!$E$11+1,1))-AVERAGE(OFFSET($H$3,0,0,'Données projet'!$E$11+1,1))</f>
        <v>220.70608186257931</v>
      </c>
      <c r="BJ57" s="62">
        <f t="shared" si="38"/>
        <v>208.79744153433245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7.1794871794871824</v>
      </c>
      <c r="BY57" s="13">
        <f>IF('Données projet'!$A$114&gt;35,BY56+BX57-CG56,IF(A57&lt;'Données projet'!$A$114,$BV$205^A57,IF(A57='Données projet'!$A$114,'Données projet'!$B$114,BY56+BX57-CG56)))</f>
        <v>306.28205128205104</v>
      </c>
      <c r="BZ57" s="14">
        <f>BY57*VLOOKUP('Données projet'!$B$12,Paramètres!$A$1:$I$89,3,0)*VLOOKUP('Données projet'!$B$12,Paramètres!$A$1:$I$89,5,0)</f>
        <v>205.45399999999984</v>
      </c>
      <c r="CA57" s="14">
        <f t="shared" si="39"/>
        <v>50.940908527421215</v>
      </c>
      <c r="CB57" s="22">
        <f t="shared" si="10"/>
        <v>446.55446568525832</v>
      </c>
      <c r="CC57" s="62">
        <f t="shared" si="11"/>
        <v>739.88779901859164</v>
      </c>
      <c r="CD57" s="62">
        <f ca="1">AVERAGE(OFFSET($CC$3,0,0,'Données projet'!$E$12+1,1))-AVERAGE(OFFSET($H$3,0,0,'Données projet'!$E$12+1,1))</f>
        <v>310.47303518828346</v>
      </c>
      <c r="CE57" s="62">
        <f t="shared" si="40"/>
        <v>247.30353382335278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336</v>
      </c>
      <c r="L58" s="13">
        <f>VLOOKUP(A58,'Données projet'!$A$35:$I$55,9,0)</f>
        <v>8.6</v>
      </c>
      <c r="M58" s="13">
        <f t="array" ref="M58">INDEX(L:L,MIN(IF(ISNUMBER(L58:L254),ROW(L58:L254),"")))</f>
        <v>8.6</v>
      </c>
      <c r="N58" s="14">
        <f>IF('Données projet'!$A$36&gt;35,N57+M58-V57,IF(A58&lt;'Données projet'!$A$36,$K$205^A58,IF(A58='Données projet'!$A$36,'Données projet'!$B$36,N57+M58-V57)))</f>
        <v>336.00000000000017</v>
      </c>
      <c r="O58" s="14">
        <f>N58*VLOOKUP('Données projet'!$B$9,Paramètres!$A$1:$I$89,3,0)*VLOOKUP('Données projet'!$B$9,Paramètres!$A$1:$I$89,5,0)</f>
        <v>293.52960000000019</v>
      </c>
      <c r="P58" s="14">
        <f t="shared" si="33"/>
        <v>69.818302593638123</v>
      </c>
      <c r="Q58" s="22">
        <f t="shared" si="53"/>
        <v>632.83093035058664</v>
      </c>
      <c r="R58" s="62">
        <f t="shared" si="0"/>
        <v>926.1642636839199</v>
      </c>
      <c r="S58" s="62">
        <f ca="1">AVERAGE(OFFSET($R$3,0,0,'Données projet'!$E$9+1,1))-AVERAGE(OFFSET($H$3,0,0,'Données projet'!$E$9+1,1))</f>
        <v>285.16422150773082</v>
      </c>
      <c r="T58" s="62">
        <f t="shared" si="34"/>
        <v>448.96462312238845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336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255.15360000000001</v>
      </c>
      <c r="AK58" s="14">
        <f t="shared" si="35"/>
        <v>61.688192762754426</v>
      </c>
      <c r="AL58" s="22">
        <f t="shared" si="4"/>
        <v>551.83278906179726</v>
      </c>
      <c r="AM58" s="62">
        <f t="shared" si="5"/>
        <v>845.16612239513051</v>
      </c>
      <c r="AN58" s="62">
        <f ca="1">AVERAGE(OFFSET($AM$3,0,0,'Données projet'!$E$10+1,1))-AVERAGE(OFFSET($H$3,0,0,'Données projet'!$E$10+1,1))</f>
        <v>384.44848355636935</v>
      </c>
      <c r="AO58" s="62">
        <f t="shared" si="36"/>
        <v>203.5274665601915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250.12499999999994</v>
      </c>
      <c r="BE58" s="14">
        <f>BD58*VLOOKUP('Données projet'!$B$11,Paramètres!$A$1:$I$89,3,0)*VLOOKUP('Données projet'!$B$11,Paramètres!$A$1:$I$89,5,0)</f>
        <v>195.09749999999997</v>
      </c>
      <c r="BF58" s="14">
        <f t="shared" si="37"/>
        <v>48.66519532492584</v>
      </c>
      <c r="BG58" s="22">
        <f t="shared" si="7"/>
        <v>424.55336102424576</v>
      </c>
      <c r="BH58" s="62">
        <f t="shared" si="8"/>
        <v>717.88669435757902</v>
      </c>
      <c r="BI58" s="62">
        <f ca="1">AVERAGE(OFFSET($BH$3,0,0,'Données projet'!$E$11+1,1))-AVERAGE(OFFSET($H$3,0,0,'Données projet'!$E$11+1,1))</f>
        <v>220.70608186257931</v>
      </c>
      <c r="BJ58" s="62">
        <f t="shared" si="38"/>
        <v>208.79744153433245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313.46153846153845</v>
      </c>
      <c r="BW58" s="13">
        <f>VLOOKUP(A58,'Données projet'!$A$113:$I$133,9,0)</f>
        <v>7.1794871794871824</v>
      </c>
      <c r="BX58" s="13">
        <f t="array" ref="BX58">INDEX(BW:BW,MIN(IF(ISNUMBER(BW58:BW254),ROW(BW58:BW254),"")))</f>
        <v>7.1794871794871824</v>
      </c>
      <c r="BY58" s="13">
        <f>IF('Données projet'!$A$114&gt;35,BY57+BX58-CG57,IF(A58&lt;'Données projet'!$A$114,$BV$205^A58,IF(A58='Données projet'!$A$114,'Données projet'!$B$114,BY57+BX58-CG57)))</f>
        <v>313.46153846153823</v>
      </c>
      <c r="BZ58" s="14">
        <f>BY58*VLOOKUP('Données projet'!$B$12,Paramètres!$A$1:$I$89,3,0)*VLOOKUP('Données projet'!$B$12,Paramètres!$A$1:$I$89,5,0)</f>
        <v>210.26999999999984</v>
      </c>
      <c r="CA58" s="14">
        <f t="shared" si="39"/>
        <v>51.994583078493029</v>
      </c>
      <c r="CB58" s="22">
        <f t="shared" si="10"/>
        <v>456.77748219504173</v>
      </c>
      <c r="CC58" s="62">
        <f t="shared" si="11"/>
        <v>750.11081552837504</v>
      </c>
      <c r="CD58" s="62">
        <f ca="1">AVERAGE(OFFSET($CC$3,0,0,'Données projet'!$E$12+1,1))-AVERAGE(OFFSET($H$3,0,0,'Données projet'!$E$12+1,1))</f>
        <v>310.47303518828346</v>
      </c>
      <c r="CE58" s="62">
        <f t="shared" si="40"/>
        <v>247.30353382335278</v>
      </c>
      <c r="CF58" s="16">
        <f>IF(ISNA(VLOOKUP(A58,'Données projet'!$A$113:$I$133,3,0)),0,VLOOKUP(A58,'Données projet'!$A$113:$I$133,3,0))</f>
        <v>5</v>
      </c>
      <c r="CG58" s="16">
        <f>IF(ISNA(VLOOKUP(A58,'Données projet'!$A$113:$I$133,4,0)),0,VLOOKUP(A58,'Données projet'!$A$113:$I$133,4,0))</f>
        <v>39.743589743589745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1.7053025658242404E-13</v>
      </c>
      <c r="O59" s="14">
        <f>N59*VLOOKUP('Données projet'!$B$9,Paramètres!$A$1:$I$89,3,0)*VLOOKUP('Données projet'!$B$9,Paramètres!$A$1:$I$89,5,0)</f>
        <v>1.4897523215040567E-13</v>
      </c>
      <c r="P59" s="14">
        <f t="shared" si="33"/>
        <v>2.136562777003313E-12</v>
      </c>
      <c r="Q59" s="22">
        <f t="shared" si="53"/>
        <v>3.9806453659427267E-12</v>
      </c>
      <c r="R59" s="62">
        <f t="shared" si="0"/>
        <v>293.33333333333729</v>
      </c>
      <c r="S59" s="62">
        <f ca="1">AVERAGE(OFFSET($R$3,0,0,'Données projet'!$E$9+1,1))-AVERAGE(OFFSET($H$3,0,0,'Données projet'!$E$9+1,1))</f>
        <v>285.16422150773082</v>
      </c>
      <c r="T59" s="62">
        <f t="shared" si="34"/>
        <v>448.96462312238845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755.88227529661003</v>
      </c>
      <c r="AN59" s="62">
        <f ca="1">AVERAGE(OFFSET($AM$3,0,0,'Données projet'!$E$10+1,1))-AVERAGE(OFFSET($H$3,0,0,'Données projet'!$E$10+1,1))</f>
        <v>384.44848355636935</v>
      </c>
      <c r="AO59" s="62">
        <f t="shared" si="36"/>
        <v>203.5274665601915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259.49999999999994</v>
      </c>
      <c r="BE59" s="14">
        <f>BD59*VLOOKUP('Données projet'!$B$11,Paramètres!$A$1:$I$89,3,0)*VLOOKUP('Données projet'!$B$11,Paramètres!$A$1:$I$89,5,0)</f>
        <v>202.40999999999997</v>
      </c>
      <c r="BF59" s="14">
        <f t="shared" si="37"/>
        <v>50.273442991661867</v>
      </c>
      <c r="BG59" s="22">
        <f t="shared" si="7"/>
        <v>440.09032987714431</v>
      </c>
      <c r="BH59" s="62">
        <f t="shared" si="8"/>
        <v>733.42366321047757</v>
      </c>
      <c r="BI59" s="62">
        <f ca="1">AVERAGE(OFFSET($BH$3,0,0,'Données projet'!$E$11+1,1))-AVERAGE(OFFSET($H$3,0,0,'Données projet'!$E$11+1,1))</f>
        <v>220.70608186257931</v>
      </c>
      <c r="BJ59" s="62">
        <f t="shared" si="38"/>
        <v>208.79744153433245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6.5384615384615357</v>
      </c>
      <c r="BY59" s="13">
        <f>IF('Données projet'!$A$114&gt;35,BY58+BX59-CG58,IF(A59&lt;'Données projet'!$A$114,$BV$205^A59,IF(A59='Données projet'!$A$114,'Données projet'!$B$114,BY58+BX59-CG58)))</f>
        <v>280.25641025641005</v>
      </c>
      <c r="BZ59" s="14">
        <f>BY59*VLOOKUP('Données projet'!$B$12,Paramètres!$A$1:$I$89,3,0)*VLOOKUP('Données projet'!$B$12,Paramètres!$A$1:$I$89,5,0)</f>
        <v>187.99599999999987</v>
      </c>
      <c r="CA59" s="14">
        <f t="shared" si="39"/>
        <v>47.096623858026533</v>
      </c>
      <c r="CB59" s="22">
        <f t="shared" si="10"/>
        <v>409.45298655272927</v>
      </c>
      <c r="CC59" s="62">
        <f t="shared" si="11"/>
        <v>702.78631988606253</v>
      </c>
      <c r="CD59" s="62">
        <f ca="1">AVERAGE(OFFSET($CC$3,0,0,'Données projet'!$E$12+1,1))-AVERAGE(OFFSET($H$3,0,0,'Données projet'!$E$12+1,1))</f>
        <v>310.47303518828346</v>
      </c>
      <c r="CE59" s="62">
        <f t="shared" si="40"/>
        <v>247.30353382335278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1.7053025658242404E-13</v>
      </c>
      <c r="O60" s="14">
        <f>N60*VLOOKUP('Données projet'!$B$9,Paramètres!$A$1:$I$89,3,0)*VLOOKUP('Données projet'!$B$9,Paramètres!$A$1:$I$89,5,0)</f>
        <v>1.4897523215040567E-13</v>
      </c>
      <c r="P60" s="14">
        <f t="shared" si="33"/>
        <v>2.136562777003313E-12</v>
      </c>
      <c r="Q60" s="22">
        <f t="shared" si="53"/>
        <v>3.9806453659427267E-12</v>
      </c>
      <c r="R60" s="62">
        <f t="shared" si="0"/>
        <v>293.33333333333729</v>
      </c>
      <c r="S60" s="62">
        <f ca="1">AVERAGE(OFFSET($R$3,0,0,'Données projet'!$E$9+1,1))-AVERAGE(OFFSET($H$3,0,0,'Données projet'!$E$9+1,1))</f>
        <v>285.16422150773082</v>
      </c>
      <c r="T60" s="62">
        <f t="shared" si="34"/>
        <v>448.96462312238845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773.91966709175358</v>
      </c>
      <c r="AN60" s="62">
        <f ca="1">AVERAGE(OFFSET($AM$3,0,0,'Données projet'!$E$10+1,1))-AVERAGE(OFFSET($H$3,0,0,'Données projet'!$E$10+1,1))</f>
        <v>384.44848355636935</v>
      </c>
      <c r="AO60" s="62">
        <f t="shared" si="36"/>
        <v>203.5274665601915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268.87499999999994</v>
      </c>
      <c r="BE60" s="14">
        <f>BD60*VLOOKUP('Données projet'!$B$11,Paramètres!$A$1:$I$89,3,0)*VLOOKUP('Données projet'!$B$11,Paramètres!$A$1:$I$89,5,0)</f>
        <v>209.72249999999997</v>
      </c>
      <c r="BF60" s="14">
        <f t="shared" si="37"/>
        <v>51.874940300502296</v>
      </c>
      <c r="BG60" s="22">
        <f t="shared" si="7"/>
        <v>455.61554185670815</v>
      </c>
      <c r="BH60" s="62">
        <f t="shared" si="8"/>
        <v>748.94887519004146</v>
      </c>
      <c r="BI60" s="62">
        <f ca="1">AVERAGE(OFFSET($BH$3,0,0,'Données projet'!$E$11+1,1))-AVERAGE(OFFSET($H$3,0,0,'Données projet'!$E$11+1,1))</f>
        <v>220.70608186257931</v>
      </c>
      <c r="BJ60" s="62">
        <f t="shared" si="38"/>
        <v>208.79744153433245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6.5384615384615357</v>
      </c>
      <c r="BY60" s="13">
        <f>IF('Données projet'!$A$114&gt;35,BY59+BX60-CG59,IF(A60&lt;'Données projet'!$A$114,$BV$205^A60,IF(A60='Données projet'!$A$114,'Données projet'!$B$114,BY59+BX60-CG59)))</f>
        <v>286.7948717948716</v>
      </c>
      <c r="BZ60" s="14">
        <f>BY60*VLOOKUP('Données projet'!$B$12,Paramètres!$A$1:$I$89,3,0)*VLOOKUP('Données projet'!$B$12,Paramètres!$A$1:$I$89,5,0)</f>
        <v>192.38199999999986</v>
      </c>
      <c r="CA60" s="14">
        <f t="shared" si="39"/>
        <v>48.066196762064585</v>
      </c>
      <c r="CB60" s="22">
        <f t="shared" si="10"/>
        <v>418.78060936059552</v>
      </c>
      <c r="CC60" s="62">
        <f t="shared" si="11"/>
        <v>712.11394269392883</v>
      </c>
      <c r="CD60" s="62">
        <f ca="1">AVERAGE(OFFSET($CC$3,0,0,'Données projet'!$E$12+1,1))-AVERAGE(OFFSET($H$3,0,0,'Données projet'!$E$12+1,1))</f>
        <v>310.47303518828346</v>
      </c>
      <c r="CE60" s="62">
        <f t="shared" si="40"/>
        <v>247.30353382335278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1.7053025658242404E-13</v>
      </c>
      <c r="O61" s="14">
        <f>N61*VLOOKUP('Données projet'!$B$9,Paramètres!$A$1:$I$89,3,0)*VLOOKUP('Données projet'!$B$9,Paramètres!$A$1:$I$89,5,0)</f>
        <v>1.4897523215040567E-13</v>
      </c>
      <c r="P61" s="14">
        <f t="shared" si="33"/>
        <v>2.136562777003313E-12</v>
      </c>
      <c r="Q61" s="22">
        <f t="shared" si="53"/>
        <v>3.9806453659427267E-12</v>
      </c>
      <c r="R61" s="62">
        <f t="shared" si="0"/>
        <v>293.33333333333729</v>
      </c>
      <c r="S61" s="62">
        <f ca="1">AVERAGE(OFFSET($R$3,0,0,'Données projet'!$E$9+1,1))-AVERAGE(OFFSET($H$3,0,0,'Données projet'!$E$9+1,1))</f>
        <v>285.16422150773082</v>
      </c>
      <c r="T61" s="62">
        <f t="shared" si="34"/>
        <v>448.96462312238845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791.94267592098333</v>
      </c>
      <c r="AN61" s="62">
        <f ca="1">AVERAGE(OFFSET($AM$3,0,0,'Données projet'!$E$10+1,1))-AVERAGE(OFFSET($H$3,0,0,'Données projet'!$E$10+1,1))</f>
        <v>384.44848355636935</v>
      </c>
      <c r="AO61" s="62">
        <f t="shared" si="36"/>
        <v>203.5274665601915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278.24999999999994</v>
      </c>
      <c r="BE61" s="14">
        <f>BD61*VLOOKUP('Données projet'!$B$11,Paramètres!$A$1:$I$89,3,0)*VLOOKUP('Données projet'!$B$11,Paramètres!$A$1:$I$89,5,0)</f>
        <v>217.03499999999997</v>
      </c>
      <c r="BF61" s="14">
        <f t="shared" si="37"/>
        <v>53.469949591969474</v>
      </c>
      <c r="BG61" s="22">
        <f t="shared" si="7"/>
        <v>471.12945387268002</v>
      </c>
      <c r="BH61" s="62">
        <f t="shared" si="8"/>
        <v>764.46278720601333</v>
      </c>
      <c r="BI61" s="62">
        <f ca="1">AVERAGE(OFFSET($BH$3,0,0,'Données projet'!$E$11+1,1))-AVERAGE(OFFSET($H$3,0,0,'Données projet'!$E$11+1,1))</f>
        <v>220.70608186257931</v>
      </c>
      <c r="BJ61" s="62">
        <f t="shared" si="38"/>
        <v>208.79744153433245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6.5384615384615357</v>
      </c>
      <c r="BY61" s="13">
        <f>IF('Données projet'!$A$114&gt;35,BY60+BX61-CG60,IF(A61&lt;'Données projet'!$A$114,$BV$205^A61,IF(A61='Données projet'!$A$114,'Données projet'!$B$114,BY60+BX61-CG60)))</f>
        <v>293.33333333333314</v>
      </c>
      <c r="BZ61" s="14">
        <f>BY61*VLOOKUP('Données projet'!$B$12,Paramètres!$A$1:$I$89,3,0)*VLOOKUP('Données projet'!$B$12,Paramètres!$A$1:$I$89,5,0)</f>
        <v>196.76799999999989</v>
      </c>
      <c r="CA61" s="14">
        <f t="shared" si="39"/>
        <v>49.033199854505511</v>
      </c>
      <c r="CB61" s="22">
        <f t="shared" si="10"/>
        <v>428.10375641326351</v>
      </c>
      <c r="CC61" s="62">
        <f t="shared" si="11"/>
        <v>721.43708974659683</v>
      </c>
      <c r="CD61" s="62">
        <f ca="1">AVERAGE(OFFSET($CC$3,0,0,'Données projet'!$E$12+1,1))-AVERAGE(OFFSET($H$3,0,0,'Données projet'!$E$12+1,1))</f>
        <v>310.47303518828346</v>
      </c>
      <c r="CE61" s="62">
        <f t="shared" si="40"/>
        <v>247.30353382335278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1.7053025658242404E-13</v>
      </c>
      <c r="O62" s="14">
        <f>N62*VLOOKUP('Données projet'!$B$9,Paramètres!$A$1:$I$89,3,0)*VLOOKUP('Données projet'!$B$9,Paramètres!$A$1:$I$89,5,0)</f>
        <v>1.4897523215040567E-13</v>
      </c>
      <c r="P62" s="14">
        <f t="shared" si="33"/>
        <v>2.136562777003313E-12</v>
      </c>
      <c r="Q62" s="22">
        <f t="shared" si="53"/>
        <v>3.9806453659427267E-12</v>
      </c>
      <c r="R62" s="62">
        <f t="shared" si="0"/>
        <v>293.33333333333729</v>
      </c>
      <c r="S62" s="62">
        <f ca="1">AVERAGE(OFFSET($R$3,0,0,'Données projet'!$E$9+1,1))-AVERAGE(OFFSET($H$3,0,0,'Données projet'!$E$9+1,1))</f>
        <v>285.16422150773082</v>
      </c>
      <c r="T62" s="62">
        <f t="shared" si="34"/>
        <v>448.96462312238845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809.95189455631794</v>
      </c>
      <c r="AN62" s="62">
        <f ca="1">AVERAGE(OFFSET($AM$3,0,0,'Données projet'!$E$10+1,1))-AVERAGE(OFFSET($H$3,0,0,'Données projet'!$E$10+1,1))</f>
        <v>384.44848355636935</v>
      </c>
      <c r="AO62" s="62">
        <f t="shared" si="36"/>
        <v>203.5274665601915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287.62499999999994</v>
      </c>
      <c r="BE62" s="14">
        <f>BD62*VLOOKUP('Données projet'!$B$11,Paramètres!$A$1:$I$89,3,0)*VLOOKUP('Données projet'!$B$11,Paramètres!$A$1:$I$89,5,0)</f>
        <v>224.34749999999997</v>
      </c>
      <c r="BF62" s="14">
        <f t="shared" si="37"/>
        <v>55.058714525680479</v>
      </c>
      <c r="BG62" s="22">
        <f t="shared" si="7"/>
        <v>486.63249029889352</v>
      </c>
      <c r="BH62" s="62">
        <f t="shared" si="8"/>
        <v>779.96582363222683</v>
      </c>
      <c r="BI62" s="62">
        <f ca="1">AVERAGE(OFFSET($BH$3,0,0,'Données projet'!$E$11+1,1))-AVERAGE(OFFSET($H$3,0,0,'Données projet'!$E$11+1,1))</f>
        <v>220.70608186257931</v>
      </c>
      <c r="BJ62" s="62">
        <f t="shared" si="38"/>
        <v>208.79744153433245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6.5384615384615357</v>
      </c>
      <c r="BY62" s="13">
        <f>IF('Données projet'!$A$114&gt;35,BY61+BX62-CG61,IF(A62&lt;'Données projet'!$A$114,$BV$205^A62,IF(A62='Données projet'!$A$114,'Données projet'!$B$114,BY61+BX62-CG61)))</f>
        <v>299.87179487179469</v>
      </c>
      <c r="BZ62" s="14">
        <f>BY62*VLOOKUP('Données projet'!$B$12,Paramètres!$A$1:$I$89,3,0)*VLOOKUP('Données projet'!$B$12,Paramètres!$A$1:$I$89,5,0)</f>
        <v>201.15399999999988</v>
      </c>
      <c r="CA62" s="14">
        <f t="shared" si="39"/>
        <v>49.997697012370018</v>
      </c>
      <c r="CB62" s="22">
        <f t="shared" si="10"/>
        <v>437.42253896321091</v>
      </c>
      <c r="CC62" s="62">
        <f t="shared" si="11"/>
        <v>730.75587229654423</v>
      </c>
      <c r="CD62" s="62">
        <f ca="1">AVERAGE(OFFSET($CC$3,0,0,'Données projet'!$E$12+1,1))-AVERAGE(OFFSET($H$3,0,0,'Données projet'!$E$12+1,1))</f>
        <v>310.47303518828346</v>
      </c>
      <c r="CE62" s="62">
        <f t="shared" si="40"/>
        <v>247.30353382335278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1.7053025658242404E-13</v>
      </c>
      <c r="O63" s="14">
        <f>N63*VLOOKUP('Données projet'!$B$9,Paramètres!$A$1:$I$89,3,0)*VLOOKUP('Données projet'!$B$9,Paramètres!$A$1:$I$89,5,0)</f>
        <v>1.4897523215040567E-13</v>
      </c>
      <c r="P63" s="14">
        <f t="shared" si="33"/>
        <v>2.136562777003313E-12</v>
      </c>
      <c r="Q63" s="22">
        <f t="shared" si="53"/>
        <v>3.9806453659427267E-12</v>
      </c>
      <c r="R63" s="62">
        <f t="shared" si="0"/>
        <v>293.33333333333729</v>
      </c>
      <c r="S63" s="62">
        <f ca="1">AVERAGE(OFFSET($R$3,0,0,'Données projet'!$E$9+1,1))-AVERAGE(OFFSET($H$3,0,0,'Données projet'!$E$9+1,1))</f>
        <v>285.16422150773082</v>
      </c>
      <c r="T63" s="62">
        <f t="shared" si="34"/>
        <v>448.96462312238845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827.94787109652862</v>
      </c>
      <c r="AN63" s="62">
        <f ca="1">AVERAGE(OFFSET($AM$3,0,0,'Données projet'!$E$10+1,1))-AVERAGE(OFFSET($H$3,0,0,'Données projet'!$E$10+1,1))</f>
        <v>384.44848355636935</v>
      </c>
      <c r="AO63" s="62">
        <f t="shared" si="36"/>
        <v>203.5274665601915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296.99999999999994</v>
      </c>
      <c r="BE63" s="14">
        <f>BD63*VLOOKUP('Données projet'!$B$11,Paramètres!$A$1:$I$89,3,0)*VLOOKUP('Données projet'!$B$11,Paramètres!$A$1:$I$89,5,0)</f>
        <v>231.65999999999997</v>
      </c>
      <c r="BF63" s="14">
        <f t="shared" si="37"/>
        <v>56.641461975682766</v>
      </c>
      <c r="BG63" s="22">
        <f t="shared" si="7"/>
        <v>502.12504627431412</v>
      </c>
      <c r="BH63" s="62">
        <f t="shared" si="8"/>
        <v>795.45837960764743</v>
      </c>
      <c r="BI63" s="62">
        <f ca="1">AVERAGE(OFFSET($BH$3,0,0,'Données projet'!$E$11+1,1))-AVERAGE(OFFSET($H$3,0,0,'Données projet'!$E$11+1,1))</f>
        <v>220.70608186257931</v>
      </c>
      <c r="BJ63" s="62">
        <f t="shared" si="38"/>
        <v>208.79744153433245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306.41025641025641</v>
      </c>
      <c r="BW63" s="13">
        <f>VLOOKUP(A63,'Données projet'!$A$113:$I$133,9,0)</f>
        <v>6.5384615384615357</v>
      </c>
      <c r="BX63" s="13">
        <f t="array" ref="BX63">INDEX(BW:BW,MIN(IF(ISNUMBER(BW63:BW259),ROW(BW63:BW259),"")))</f>
        <v>6.5384615384615357</v>
      </c>
      <c r="BY63" s="13">
        <f>IF('Données projet'!$A$114&gt;35,BY62+BX63-CG62,IF(A63&lt;'Données projet'!$A$114,$BV$205^A63,IF(A63='Données projet'!$A$114,'Données projet'!$B$114,BY62+BX63-CG62)))</f>
        <v>306.41025641025624</v>
      </c>
      <c r="BZ63" s="14">
        <f>BY63*VLOOKUP('Données projet'!$B$12,Paramètres!$A$1:$I$89,3,0)*VLOOKUP('Données projet'!$B$12,Paramètres!$A$1:$I$89,5,0)</f>
        <v>205.53999999999991</v>
      </c>
      <c r="CA63" s="14">
        <f t="shared" si="39"/>
        <v>50.95974916802129</v>
      </c>
      <c r="CB63" s="22">
        <f t="shared" si="10"/>
        <v>446.73706313430358</v>
      </c>
      <c r="CC63" s="62">
        <f t="shared" si="11"/>
        <v>740.0703964676369</v>
      </c>
      <c r="CD63" s="62">
        <f ca="1">AVERAGE(OFFSET($CC$3,0,0,'Données projet'!$E$12+1,1))-AVERAGE(OFFSET($H$3,0,0,'Données projet'!$E$12+1,1))</f>
        <v>310.47303518828346</v>
      </c>
      <c r="CE63" s="62">
        <f t="shared" si="40"/>
        <v>247.30353382335278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1.7053025658242404E-13</v>
      </c>
      <c r="O64" s="14">
        <f>N64*VLOOKUP('Données projet'!$B$9,Paramètres!$A$1:$I$89,3,0)*VLOOKUP('Données projet'!$B$9,Paramètres!$A$1:$I$89,5,0)</f>
        <v>1.4897523215040567E-13</v>
      </c>
      <c r="P64" s="14">
        <f t="shared" si="33"/>
        <v>2.136562777003313E-12</v>
      </c>
      <c r="Q64" s="22">
        <f t="shared" si="53"/>
        <v>3.9806453659427267E-12</v>
      </c>
      <c r="R64" s="62">
        <f t="shared" si="0"/>
        <v>293.33333333333729</v>
      </c>
      <c r="S64" s="62">
        <f ca="1">AVERAGE(OFFSET($R$3,0,0,'Données projet'!$E$9+1,1))-AVERAGE(OFFSET($H$3,0,0,'Données projet'!$E$9+1,1))</f>
        <v>285.16422150773082</v>
      </c>
      <c r="T64" s="62">
        <f t="shared" si="34"/>
        <v>448.96462312238845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254.97263999999996</v>
      </c>
      <c r="AK64" s="14">
        <f t="shared" si="35"/>
        <v>61.649533232533919</v>
      </c>
      <c r="AL64" s="22">
        <f t="shared" si="4"/>
        <v>551.45028504666311</v>
      </c>
      <c r="AM64" s="62">
        <f t="shared" si="5"/>
        <v>844.78361837999637</v>
      </c>
      <c r="AN64" s="62">
        <f ca="1">AVERAGE(OFFSET($AM$3,0,0,'Données projet'!$E$10+1,1))-AVERAGE(OFFSET($H$3,0,0,'Données projet'!$E$10+1,1))</f>
        <v>384.44848355636935</v>
      </c>
      <c r="AO64" s="62">
        <f t="shared" si="36"/>
        <v>203.5274665601915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8.6666666666666661</v>
      </c>
      <c r="BD64" s="13">
        <f>IF('Données projet'!$A$88&gt;35,BD63+BC64-BL63,IF(A64&lt;'Données projet'!$A$88,$BA$205^A64,IF(A64='Données projet'!$A$88,'Données projet'!$B$88,BD63+BC64-BL63)))</f>
        <v>258.66666666666663</v>
      </c>
      <c r="BE64" s="14">
        <f>BD64*VLOOKUP('Données projet'!$B$11,Paramètres!$A$1:$I$89,3,0)*VLOOKUP('Données projet'!$B$11,Paramètres!$A$1:$I$89,5,0)</f>
        <v>201.76</v>
      </c>
      <c r="BF64" s="14">
        <f t="shared" si="37"/>
        <v>50.130765000424212</v>
      </c>
      <c r="BG64" s="22">
        <f t="shared" si="7"/>
        <v>438.70974904240546</v>
      </c>
      <c r="BH64" s="62">
        <f t="shared" si="8"/>
        <v>732.04308237573878</v>
      </c>
      <c r="BI64" s="62">
        <f ca="1">AVERAGE(OFFSET($BH$3,0,0,'Données projet'!$E$11+1,1))-AVERAGE(OFFSET($H$3,0,0,'Données projet'!$E$11+1,1))</f>
        <v>220.70608186257931</v>
      </c>
      <c r="BJ64" s="62">
        <f t="shared" si="38"/>
        <v>208.79744153433245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6.2820512820512819</v>
      </c>
      <c r="BY64" s="13">
        <f>IF('Données projet'!$A$114&gt;35,BY63+BX64-CG63,IF(A64&lt;'Données projet'!$A$114,$BV$205^A64,IF(A64='Données projet'!$A$114,'Données projet'!$B$114,BY63+BX64-CG63)))</f>
        <v>312.69230769230751</v>
      </c>
      <c r="BZ64" s="14">
        <f>BY64*VLOOKUP('Données projet'!$B$12,Paramètres!$A$1:$I$89,3,0)*VLOOKUP('Données projet'!$B$12,Paramètres!$A$1:$I$89,5,0)</f>
        <v>209.75399999999985</v>
      </c>
      <c r="CA64" s="14">
        <f t="shared" si="39"/>
        <v>51.881824842420862</v>
      </c>
      <c r="CB64" s="22">
        <f t="shared" si="10"/>
        <v>455.68239493388273</v>
      </c>
      <c r="CC64" s="62">
        <f t="shared" si="11"/>
        <v>749.01572826721599</v>
      </c>
      <c r="CD64" s="62">
        <f ca="1">AVERAGE(OFFSET($CC$3,0,0,'Données projet'!$E$12+1,1))-AVERAGE(OFFSET($H$3,0,0,'Données projet'!$E$12+1,1))</f>
        <v>310.47303518828346</v>
      </c>
      <c r="CE64" s="62">
        <f t="shared" si="40"/>
        <v>247.30353382335278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1.7053025658242404E-13</v>
      </c>
      <c r="O65" s="14">
        <f>N65*VLOOKUP('Données projet'!$B$9,Paramètres!$A$1:$I$89,3,0)*VLOOKUP('Données projet'!$B$9,Paramètres!$A$1:$I$89,5,0)</f>
        <v>1.4897523215040567E-13</v>
      </c>
      <c r="P65" s="14">
        <f t="shared" si="33"/>
        <v>2.136562777003313E-12</v>
      </c>
      <c r="Q65" s="22">
        <f t="shared" si="53"/>
        <v>3.9806453659427267E-12</v>
      </c>
      <c r="R65" s="62">
        <f t="shared" si="0"/>
        <v>293.33333333333729</v>
      </c>
      <c r="S65" s="62">
        <f ca="1">AVERAGE(OFFSET($R$3,0,0,'Données projet'!$E$9+1,1))-AVERAGE(OFFSET($H$3,0,0,'Données projet'!$E$9+1,1))</f>
        <v>285.16422150773082</v>
      </c>
      <c r="T65" s="62">
        <f t="shared" si="34"/>
        <v>448.96462312238845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262.93487999999996</v>
      </c>
      <c r="AK65" s="14">
        <f t="shared" si="35"/>
        <v>63.347566493432765</v>
      </c>
      <c r="AL65" s="22">
        <f t="shared" si="4"/>
        <v>568.27526097606199</v>
      </c>
      <c r="AM65" s="62">
        <f t="shared" si="5"/>
        <v>861.60859430939536</v>
      </c>
      <c r="AN65" s="62">
        <f ca="1">AVERAGE(OFFSET($AM$3,0,0,'Données projet'!$E$10+1,1))-AVERAGE(OFFSET($H$3,0,0,'Données projet'!$E$10+1,1))</f>
        <v>384.44848355636935</v>
      </c>
      <c r="AO65" s="62">
        <f t="shared" si="36"/>
        <v>203.5274665601915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8.6666666666666661</v>
      </c>
      <c r="BD65" s="13">
        <f>IF('Données projet'!$A$88&gt;35,BD64+BC65-BL64,IF(A65&lt;'Données projet'!$A$88,$BA$205^A65,IF(A65='Données projet'!$A$88,'Données projet'!$B$88,BD64+BC65-BL64)))</f>
        <v>267.33333333333331</v>
      </c>
      <c r="BE65" s="14">
        <f>BD65*VLOOKUP('Données projet'!$B$11,Paramètres!$A$1:$I$89,3,0)*VLOOKUP('Données projet'!$B$11,Paramètres!$A$1:$I$89,5,0)</f>
        <v>208.51999999999998</v>
      </c>
      <c r="BF65" s="14">
        <f t="shared" si="37"/>
        <v>51.612035456318509</v>
      </c>
      <c r="BG65" s="22">
        <f t="shared" si="7"/>
        <v>453.06329508642131</v>
      </c>
      <c r="BH65" s="62">
        <f t="shared" si="8"/>
        <v>746.39662841975462</v>
      </c>
      <c r="BI65" s="62">
        <f ca="1">AVERAGE(OFFSET($BH$3,0,0,'Données projet'!$E$11+1,1))-AVERAGE(OFFSET($H$3,0,0,'Données projet'!$E$11+1,1))</f>
        <v>220.70608186257931</v>
      </c>
      <c r="BJ65" s="62">
        <f t="shared" si="38"/>
        <v>208.79744153433245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6.2820512820512819</v>
      </c>
      <c r="BY65" s="13">
        <f>IF('Données projet'!$A$114&gt;35,BY64+BX65-CG64,IF(A65&lt;'Données projet'!$A$114,$BV$205^A65,IF(A65='Données projet'!$A$114,'Données projet'!$B$114,BY64+BX65-CG64)))</f>
        <v>318.97435897435878</v>
      </c>
      <c r="BZ65" s="14">
        <f>BY65*VLOOKUP('Données projet'!$B$12,Paramètres!$A$1:$I$89,3,0)*VLOOKUP('Données projet'!$B$12,Paramètres!$A$1:$I$89,5,0)</f>
        <v>213.96799999999985</v>
      </c>
      <c r="CA65" s="14">
        <f t="shared" si="39"/>
        <v>52.801746609520308</v>
      </c>
      <c r="CB65" s="22">
        <f t="shared" si="10"/>
        <v>464.62397534491424</v>
      </c>
      <c r="CC65" s="62">
        <f t="shared" si="11"/>
        <v>757.9573086782475</v>
      </c>
      <c r="CD65" s="62">
        <f ca="1">AVERAGE(OFFSET($CC$3,0,0,'Données projet'!$E$12+1,1))-AVERAGE(OFFSET($H$3,0,0,'Données projet'!$E$12+1,1))</f>
        <v>310.47303518828346</v>
      </c>
      <c r="CE65" s="62">
        <f t="shared" si="40"/>
        <v>247.30353382335278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1.7053025658242404E-13</v>
      </c>
      <c r="O66" s="14">
        <f>N66*VLOOKUP('Données projet'!$B$9,Paramètres!$A$1:$I$89,3,0)*VLOOKUP('Données projet'!$B$9,Paramètres!$A$1:$I$89,5,0)</f>
        <v>1.4897523215040567E-13</v>
      </c>
      <c r="P66" s="14">
        <f t="shared" si="33"/>
        <v>2.136562777003313E-12</v>
      </c>
      <c r="Q66" s="22">
        <f t="shared" si="53"/>
        <v>3.9806453659427267E-12</v>
      </c>
      <c r="R66" s="62">
        <f t="shared" si="0"/>
        <v>293.33333333333729</v>
      </c>
      <c r="S66" s="62">
        <f ca="1">AVERAGE(OFFSET($R$3,0,0,'Données projet'!$E$9+1,1))-AVERAGE(OFFSET($H$3,0,0,'Données projet'!$E$9+1,1))</f>
        <v>285.16422150773082</v>
      </c>
      <c r="T66" s="62">
        <f t="shared" si="34"/>
        <v>448.96462312238845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270.89711999999997</v>
      </c>
      <c r="AK66" s="14">
        <f t="shared" si="35"/>
        <v>65.039624021315475</v>
      </c>
      <c r="AL66" s="22">
        <f t="shared" si="4"/>
        <v>585.08982917045773</v>
      </c>
      <c r="AM66" s="62">
        <f t="shared" si="5"/>
        <v>878.42316250379099</v>
      </c>
      <c r="AN66" s="62">
        <f ca="1">AVERAGE(OFFSET($AM$3,0,0,'Données projet'!$E$10+1,1))-AVERAGE(OFFSET($H$3,0,0,'Données projet'!$E$10+1,1))</f>
        <v>384.44848355636935</v>
      </c>
      <c r="AO66" s="62">
        <f t="shared" si="36"/>
        <v>203.5274665601915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8.6666666666666661</v>
      </c>
      <c r="BD66" s="13">
        <f>IF('Données projet'!$A$88&gt;35,BD65+BC66-BL65,IF(A66&lt;'Données projet'!$A$88,$BA$205^A66,IF(A66='Données projet'!$A$88,'Données projet'!$B$88,BD65+BC66-BL65)))</f>
        <v>276</v>
      </c>
      <c r="BE66" s="14">
        <f>BD66*VLOOKUP('Données projet'!$B$11,Paramètres!$A$1:$I$89,3,0)*VLOOKUP('Données projet'!$B$11,Paramètres!$A$1:$I$89,5,0)</f>
        <v>215.28</v>
      </c>
      <c r="BF66" s="14">
        <f t="shared" si="37"/>
        <v>53.087725740853138</v>
      </c>
      <c r="BG66" s="22">
        <f t="shared" si="7"/>
        <v>467.40712233198587</v>
      </c>
      <c r="BH66" s="62">
        <f t="shared" si="8"/>
        <v>760.74045566531913</v>
      </c>
      <c r="BI66" s="62">
        <f ca="1">AVERAGE(OFFSET($BH$3,0,0,'Données projet'!$E$11+1,1))-AVERAGE(OFFSET($H$3,0,0,'Données projet'!$E$11+1,1))</f>
        <v>220.70608186257931</v>
      </c>
      <c r="BJ66" s="62">
        <f t="shared" si="38"/>
        <v>208.79744153433245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6.2820512820512819</v>
      </c>
      <c r="BY66" s="13">
        <f>IF('Données projet'!$A$114&gt;35,BY65+BX66-CG65,IF(A66&lt;'Données projet'!$A$114,$BV$205^A66,IF(A66='Données projet'!$A$114,'Données projet'!$B$114,BY65+BX66-CG65)))</f>
        <v>325.25641025641005</v>
      </c>
      <c r="BZ66" s="14">
        <f>BY66*VLOOKUP('Données projet'!$B$12,Paramètres!$A$1:$I$89,3,0)*VLOOKUP('Données projet'!$B$12,Paramètres!$A$1:$I$89,5,0)</f>
        <v>218.18199999999985</v>
      </c>
      <c r="CA66" s="14">
        <f t="shared" si="39"/>
        <v>53.719561779161474</v>
      </c>
      <c r="CB66" s="22">
        <f t="shared" si="10"/>
        <v>473.56188676537266</v>
      </c>
      <c r="CC66" s="62">
        <f t="shared" si="11"/>
        <v>766.89522009870598</v>
      </c>
      <c r="CD66" s="62">
        <f ca="1">AVERAGE(OFFSET($CC$3,0,0,'Données projet'!$E$12+1,1))-AVERAGE(OFFSET($H$3,0,0,'Données projet'!$E$12+1,1))</f>
        <v>310.47303518828346</v>
      </c>
      <c r="CE66" s="62">
        <f t="shared" si="40"/>
        <v>247.30353382335278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1.7053025658242404E-13</v>
      </c>
      <c r="O67" s="14">
        <f>N67*VLOOKUP('Données projet'!$B$9,Paramètres!$A$1:$I$89,3,0)*VLOOKUP('Données projet'!$B$9,Paramètres!$A$1:$I$89,5,0)</f>
        <v>1.4897523215040567E-13</v>
      </c>
      <c r="P67" s="14">
        <f t="shared" si="33"/>
        <v>2.136562777003313E-12</v>
      </c>
      <c r="Q67" s="22">
        <f t="shared" ref="Q67:Q98" si="54">(O67+P67)*0.475*44/12</f>
        <v>3.9806453659427267E-12</v>
      </c>
      <c r="R67" s="62">
        <f t="shared" ref="R67:R130" si="55">Q67+(I67+J67)*44/12</f>
        <v>293.33333333333729</v>
      </c>
      <c r="S67" s="62">
        <f ca="1">AVERAGE(OFFSET($R$3,0,0,'Données projet'!$E$9+1,1))-AVERAGE(OFFSET($H$3,0,0,'Données projet'!$E$9+1,1))</f>
        <v>285.16422150773082</v>
      </c>
      <c r="T67" s="62">
        <f t="shared" si="34"/>
        <v>448.96462312238845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278.85935999999998</v>
      </c>
      <c r="AK67" s="14">
        <f t="shared" si="35"/>
        <v>66.725901622172444</v>
      </c>
      <c r="AL67" s="22">
        <f t="shared" si="4"/>
        <v>601.89433065861692</v>
      </c>
      <c r="AM67" s="62">
        <f t="shared" si="5"/>
        <v>895.22766399195029</v>
      </c>
      <c r="AN67" s="62">
        <f ca="1">AVERAGE(OFFSET($AM$3,0,0,'Données projet'!$E$10+1,1))-AVERAGE(OFFSET($H$3,0,0,'Données projet'!$E$10+1,1))</f>
        <v>384.44848355636935</v>
      </c>
      <c r="AO67" s="62">
        <f t="shared" si="36"/>
        <v>203.5274665601915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8.6666666666666661</v>
      </c>
      <c r="BD67" s="13">
        <f>IF('Données projet'!$A$88&gt;35,BD66+BC67-BL66,IF(A67&lt;'Données projet'!$A$88,$BA$205^A67,IF(A67='Données projet'!$A$88,'Données projet'!$B$88,BD66+BC67-BL66)))</f>
        <v>284.66666666666669</v>
      </c>
      <c r="BE67" s="14">
        <f>BD67*VLOOKUP('Données projet'!$B$11,Paramètres!$A$1:$I$89,3,0)*VLOOKUP('Données projet'!$B$11,Paramètres!$A$1:$I$89,5,0)</f>
        <v>222.04000000000002</v>
      </c>
      <c r="BF67" s="14">
        <f t="shared" si="37"/>
        <v>54.558031180803596</v>
      </c>
      <c r="BG67" s="22">
        <f t="shared" si="7"/>
        <v>481.74157097323291</v>
      </c>
      <c r="BH67" s="62">
        <f t="shared" si="8"/>
        <v>775.07490430656617</v>
      </c>
      <c r="BI67" s="62">
        <f ca="1">AVERAGE(OFFSET($BH$3,0,0,'Données projet'!$E$11+1,1))-AVERAGE(OFFSET($H$3,0,0,'Données projet'!$E$11+1,1))</f>
        <v>220.70608186257931</v>
      </c>
      <c r="BJ67" s="62">
        <f t="shared" si="38"/>
        <v>208.79744153433245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6.2820512820512819</v>
      </c>
      <c r="BY67" s="13">
        <f>IF('Données projet'!$A$114&gt;35,BY66+BX67-CG66,IF(A67&lt;'Données projet'!$A$114,$BV$205^A67,IF(A67='Données projet'!$A$114,'Données projet'!$B$114,BY66+BX67-CG66)))</f>
        <v>331.53846153846132</v>
      </c>
      <c r="BZ67" s="14">
        <f>BY67*VLOOKUP('Données projet'!$B$12,Paramètres!$A$1:$I$89,3,0)*VLOOKUP('Données projet'!$B$12,Paramètres!$A$1:$I$89,5,0)</f>
        <v>222.39599999999984</v>
      </c>
      <c r="CA67" s="14">
        <f t="shared" si="39"/>
        <v>54.635315729138988</v>
      </c>
      <c r="CB67" s="22">
        <f t="shared" si="10"/>
        <v>482.49620822825017</v>
      </c>
      <c r="CC67" s="62">
        <f t="shared" si="11"/>
        <v>775.82954156158348</v>
      </c>
      <c r="CD67" s="62">
        <f ca="1">AVERAGE(OFFSET($CC$3,0,0,'Données projet'!$E$12+1,1))-AVERAGE(OFFSET($H$3,0,0,'Données projet'!$E$12+1,1))</f>
        <v>310.47303518828346</v>
      </c>
      <c r="CE67" s="62">
        <f t="shared" si="40"/>
        <v>247.30353382335278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1.7053025658242404E-13</v>
      </c>
      <c r="O68" s="14">
        <f>N68*VLOOKUP('Données projet'!$B$9,Paramètres!$A$1:$I$89,3,0)*VLOOKUP('Données projet'!$B$9,Paramètres!$A$1:$I$89,5,0)</f>
        <v>1.4897523215040567E-13</v>
      </c>
      <c r="P68" s="14">
        <f t="shared" si="33"/>
        <v>2.136562777003313E-12</v>
      </c>
      <c r="Q68" s="22">
        <f t="shared" si="54"/>
        <v>3.9806453659427267E-12</v>
      </c>
      <c r="R68" s="62">
        <f t="shared" si="55"/>
        <v>293.33333333333729</v>
      </c>
      <c r="S68" s="62">
        <f ca="1">AVERAGE(OFFSET($R$3,0,0,'Données projet'!$E$9+1,1))-AVERAGE(OFFSET($H$3,0,0,'Données projet'!$E$9+1,1))</f>
        <v>285.16422150773082</v>
      </c>
      <c r="T68" s="62">
        <f t="shared" si="34"/>
        <v>448.96462312238845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286.82159999999999</v>
      </c>
      <c r="AK68" s="14">
        <f t="shared" si="35"/>
        <v>68.406583284351484</v>
      </c>
      <c r="AL68" s="22">
        <f t="shared" ref="AL68:AL131" si="58">(AJ68+AK68)*0.475*44/12</f>
        <v>618.68908588691215</v>
      </c>
      <c r="AM68" s="62">
        <f t="shared" ref="AM68:AM131" si="59">AL68+(AD68+AE68)*44/12</f>
        <v>912.02241922024541</v>
      </c>
      <c r="AN68" s="62">
        <f ca="1">AVERAGE(OFFSET($AM$3,0,0,'Données projet'!$E$10+1,1))-AVERAGE(OFFSET($H$3,0,0,'Données projet'!$E$10+1,1))</f>
        <v>384.44848355636935</v>
      </c>
      <c r="AO68" s="62">
        <f t="shared" si="36"/>
        <v>203.5274665601915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8.6666666666666661</v>
      </c>
      <c r="BD68" s="13">
        <f>IF('Données projet'!$A$88&gt;35,BD67+BC68-BL67,IF(A68&lt;'Données projet'!$A$88,$BA$205^A68,IF(A68='Données projet'!$A$88,'Données projet'!$B$88,BD67+BC68-BL67)))</f>
        <v>293.33333333333337</v>
      </c>
      <c r="BE68" s="14">
        <f>BD68*VLOOKUP('Données projet'!$B$11,Paramètres!$A$1:$I$89,3,0)*VLOOKUP('Données projet'!$B$11,Paramètres!$A$1:$I$89,5,0)</f>
        <v>228.80000000000004</v>
      </c>
      <c r="BF68" s="14">
        <f t="shared" si="37"/>
        <v>56.023134533701196</v>
      </c>
      <c r="BG68" s="22">
        <f t="shared" ref="BG68:BG131" si="61">(BE68+BF68)*0.475*44/12</f>
        <v>496.06695931286299</v>
      </c>
      <c r="BH68" s="62">
        <f t="shared" ref="BH68:BH131" si="62">BG68+(AY68+AZ68)*44/12</f>
        <v>789.40029264619625</v>
      </c>
      <c r="BI68" s="62">
        <f ca="1">AVERAGE(OFFSET($BH$3,0,0,'Données projet'!$E$11+1,1))-AVERAGE(OFFSET($H$3,0,0,'Données projet'!$E$11+1,1))</f>
        <v>220.70608186257931</v>
      </c>
      <c r="BJ68" s="62">
        <f t="shared" si="38"/>
        <v>208.79744153433245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337.82051282051282</v>
      </c>
      <c r="BW68" s="13">
        <f>VLOOKUP(A68,'Données projet'!$A$113:$I$133,9,0)</f>
        <v>6.2820512820512819</v>
      </c>
      <c r="BX68" s="13">
        <f t="array" ref="BX68">INDEX(BW:BW,MIN(IF(ISNUMBER(BW68:BW264),ROW(BW68:BW264),"")))</f>
        <v>6.2820512820512819</v>
      </c>
      <c r="BY68" s="13">
        <f>IF('Données projet'!$A$114&gt;35,BY67+BX68-CG67,IF(A68&lt;'Données projet'!$A$114,$BV$205^A68,IF(A68='Données projet'!$A$114,'Données projet'!$B$114,BY67+BX68-CG67)))</f>
        <v>337.82051282051259</v>
      </c>
      <c r="BZ68" s="14">
        <f>BY68*VLOOKUP('Données projet'!$B$12,Paramètres!$A$1:$I$89,3,0)*VLOOKUP('Données projet'!$B$12,Paramètres!$A$1:$I$89,5,0)</f>
        <v>226.60999999999984</v>
      </c>
      <c r="CA68" s="14">
        <f t="shared" si="39"/>
        <v>55.549052019189645</v>
      </c>
      <c r="CB68" s="22">
        <f t="shared" ref="CB68:CB131" si="64">(BZ68+CA68)*0.475*44/12</f>
        <v>491.4270156000884</v>
      </c>
      <c r="CC68" s="62">
        <f t="shared" ref="CC68:CC131" si="65">CB68+(BT68+BU68)*44/12</f>
        <v>784.76034893342171</v>
      </c>
      <c r="CD68" s="62">
        <f ca="1">AVERAGE(OFFSET($CC$3,0,0,'Données projet'!$E$12+1,1))-AVERAGE(OFFSET($H$3,0,0,'Données projet'!$E$12+1,1))</f>
        <v>310.47303518828346</v>
      </c>
      <c r="CE68" s="62">
        <f t="shared" si="40"/>
        <v>247.30353382335278</v>
      </c>
      <c r="CF68" s="16">
        <f>IF(ISNA(VLOOKUP(A68,'Données projet'!$A$113:$I$133,3,0)),0,VLOOKUP(A68,'Données projet'!$A$113:$I$133,3,0))</f>
        <v>6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1.7053025658242404E-13</v>
      </c>
      <c r="O69" s="14">
        <f>N69*VLOOKUP('Données projet'!$B$9,Paramètres!$A$1:$I$89,3,0)*VLOOKUP('Données projet'!$B$9,Paramètres!$A$1:$I$89,5,0)</f>
        <v>1.4897523215040567E-13</v>
      </c>
      <c r="P69" s="14">
        <f t="shared" ref="P69:P132" si="87">EXP(-1.0587+0.8836*LN(O69)+0.284)</f>
        <v>2.136562777003313E-12</v>
      </c>
      <c r="Q69" s="22">
        <f t="shared" si="54"/>
        <v>3.9806453659427267E-12</v>
      </c>
      <c r="R69" s="62">
        <f t="shared" si="55"/>
        <v>293.33333333333729</v>
      </c>
      <c r="S69" s="62">
        <f ca="1">AVERAGE(OFFSET($R$3,0,0,'Données projet'!$E$9+1,1))-AVERAGE(OFFSET($H$3,0,0,'Données projet'!$E$9+1,1))</f>
        <v>285.16422150773082</v>
      </c>
      <c r="T69" s="62">
        <f t="shared" ref="T69:T132" si="88">$T$3</f>
        <v>448.96462312238845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820.67446302574353</v>
      </c>
      <c r="AN69" s="62">
        <f ca="1">AVERAGE(OFFSET($AM$3,0,0,'Données projet'!$E$10+1,1))-AVERAGE(OFFSET($H$3,0,0,'Données projet'!$E$10+1,1))</f>
        <v>384.44848355636935</v>
      </c>
      <c r="AO69" s="62">
        <f t="shared" ref="AO69:AO132" si="90">$AO$3</f>
        <v>203.5274665601915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8.6666666666666661</v>
      </c>
      <c r="BD69" s="13">
        <f>IF('Données projet'!$A$88&gt;35,BD68+BC69-BL68,IF(A69&lt;'Données projet'!$A$88,$BA$205^A69,IF(A69='Données projet'!$A$88,'Données projet'!$B$88,BD68+BC69-BL68)))</f>
        <v>302.00000000000006</v>
      </c>
      <c r="BE69" s="14">
        <f>BD69*VLOOKUP('Données projet'!$B$11,Paramètres!$A$1:$I$89,3,0)*VLOOKUP('Données projet'!$B$11,Paramètres!$A$1:$I$89,5,0)</f>
        <v>235.56000000000006</v>
      </c>
      <c r="BF69" s="14">
        <f t="shared" ref="BF69:BF132" si="91">EXP(-1.0587+0.8836*LN(BE69)+0.284)</f>
        <v>57.483207143847771</v>
      </c>
      <c r="BG69" s="22">
        <f t="shared" si="61"/>
        <v>510.38358577553487</v>
      </c>
      <c r="BH69" s="62">
        <f t="shared" si="62"/>
        <v>803.71691910886818</v>
      </c>
      <c r="BI69" s="62">
        <f ca="1">AVERAGE(OFFSET($BH$3,0,0,'Données projet'!$E$11+1,1))-AVERAGE(OFFSET($H$3,0,0,'Données projet'!$E$11+1,1))</f>
        <v>220.70608186257931</v>
      </c>
      <c r="BJ69" s="62">
        <f t="shared" ref="BJ69:BJ132" si="92">$BJ$3</f>
        <v>208.79744153433245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-1.4102564102564088</v>
      </c>
      <c r="BY69" s="13">
        <f>IF('Données projet'!$A$114&gt;35,BY68+BX69-CG68,IF(A69&lt;'Données projet'!$A$114,$BV$205^A69,IF(A69='Données projet'!$A$114,'Données projet'!$B$114,BY68+BX69-CG68)))</f>
        <v>336.41025641025618</v>
      </c>
      <c r="BZ69" s="14">
        <f>BY69*VLOOKUP('Données projet'!$B$12,Paramètres!$A$1:$I$89,3,0)*VLOOKUP('Données projet'!$B$12,Paramètres!$A$1:$I$89,5,0)</f>
        <v>225.66399999999987</v>
      </c>
      <c r="CA69" s="14">
        <f t="shared" ref="CA69:CA132" si="93">EXP(-1.0587+0.8836*LN(BZ69)+0.284)</f>
        <v>55.344100995293566</v>
      </c>
      <c r="CB69" s="22">
        <f t="shared" si="64"/>
        <v>489.42244256680277</v>
      </c>
      <c r="CC69" s="62">
        <f t="shared" si="65"/>
        <v>782.75577590013609</v>
      </c>
      <c r="CD69" s="62">
        <f ca="1">AVERAGE(OFFSET($CC$3,0,0,'Données projet'!$E$12+1,1))-AVERAGE(OFFSET($H$3,0,0,'Données projet'!$E$12+1,1))</f>
        <v>310.47303518828346</v>
      </c>
      <c r="CE69" s="62">
        <f t="shared" ref="CE69:CE132" si="94">$CE$3</f>
        <v>247.30353382335278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1.7053025658242404E-13</v>
      </c>
      <c r="O70" s="14">
        <f>N70*VLOOKUP('Données projet'!$B$9,Paramètres!$A$1:$I$89,3,0)*VLOOKUP('Données projet'!$B$9,Paramètres!$A$1:$I$89,5,0)</f>
        <v>1.4897523215040567E-13</v>
      </c>
      <c r="P70" s="14">
        <f t="shared" si="87"/>
        <v>2.136562777003313E-12</v>
      </c>
      <c r="Q70" s="22">
        <f t="shared" si="54"/>
        <v>3.9806453659427267E-12</v>
      </c>
      <c r="R70" s="62">
        <f t="shared" si="55"/>
        <v>293.33333333333729</v>
      </c>
      <c r="S70" s="62">
        <f ca="1">AVERAGE(OFFSET($R$3,0,0,'Données projet'!$E$9+1,1))-AVERAGE(OFFSET($H$3,0,0,'Données projet'!$E$9+1,1))</f>
        <v>285.16422150773082</v>
      </c>
      <c r="T70" s="62">
        <f t="shared" si="88"/>
        <v>448.96462312238845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836.36711482633996</v>
      </c>
      <c r="AN70" s="62">
        <f ca="1">AVERAGE(OFFSET($AM$3,0,0,'Données projet'!$E$10+1,1))-AVERAGE(OFFSET($H$3,0,0,'Données projet'!$E$10+1,1))</f>
        <v>384.44848355636935</v>
      </c>
      <c r="AO70" s="62">
        <f t="shared" si="90"/>
        <v>203.5274665601915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8.6666666666666661</v>
      </c>
      <c r="BD70" s="13">
        <f>IF('Données projet'!$A$88&gt;35,BD69+BC70-BL69,IF(A70&lt;'Données projet'!$A$88,$BA$205^A70,IF(A70='Données projet'!$A$88,'Données projet'!$B$88,BD69+BC70-BL69)))</f>
        <v>310.66666666666674</v>
      </c>
      <c r="BE70" s="14">
        <f>BD70*VLOOKUP('Données projet'!$B$11,Paramètres!$A$1:$I$89,3,0)*VLOOKUP('Données projet'!$B$11,Paramètres!$A$1:$I$89,5,0)</f>
        <v>242.32000000000008</v>
      </c>
      <c r="BF70" s="14">
        <f t="shared" si="91"/>
        <v>58.938409961900909</v>
      </c>
      <c r="BG70" s="22">
        <f t="shared" si="61"/>
        <v>524.69173068364421</v>
      </c>
      <c r="BH70" s="62">
        <f t="shared" si="62"/>
        <v>818.02506401697747</v>
      </c>
      <c r="BI70" s="62">
        <f ca="1">AVERAGE(OFFSET($BH$3,0,0,'Données projet'!$E$11+1,1))-AVERAGE(OFFSET($H$3,0,0,'Données projet'!$E$11+1,1))</f>
        <v>220.70608186257931</v>
      </c>
      <c r="BJ70" s="62">
        <f t="shared" si="92"/>
        <v>208.79744153433245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-1.4102564102564088</v>
      </c>
      <c r="BY70" s="13">
        <f>IF('Données projet'!$A$114&gt;35,BY69+BX70-CG69,IF(A70&lt;'Données projet'!$A$114,$BV$205^A70,IF(A70='Données projet'!$A$114,'Données projet'!$B$114,BY69+BX70-CG69)))</f>
        <v>334.99999999999977</v>
      </c>
      <c r="BZ70" s="14">
        <f>BY70*VLOOKUP('Données projet'!$B$12,Paramètres!$A$1:$I$89,3,0)*VLOOKUP('Données projet'!$B$12,Paramètres!$A$1:$I$89,5,0)</f>
        <v>224.71799999999985</v>
      </c>
      <c r="CA70" s="14">
        <f t="shared" si="93"/>
        <v>55.13904993933194</v>
      </c>
      <c r="CB70" s="22">
        <f t="shared" si="64"/>
        <v>487.41769531100289</v>
      </c>
      <c r="CC70" s="62">
        <f t="shared" si="65"/>
        <v>780.7510286443362</v>
      </c>
      <c r="CD70" s="62">
        <f ca="1">AVERAGE(OFFSET($CC$3,0,0,'Données projet'!$E$12+1,1))-AVERAGE(OFFSET($H$3,0,0,'Données projet'!$E$12+1,1))</f>
        <v>310.47303518828346</v>
      </c>
      <c r="CE70" s="62">
        <f t="shared" si="94"/>
        <v>247.30353382335278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1.7053025658242404E-13</v>
      </c>
      <c r="O71" s="14">
        <f>N71*VLOOKUP('Données projet'!$B$9,Paramètres!$A$1:$I$89,3,0)*VLOOKUP('Données projet'!$B$9,Paramètres!$A$1:$I$89,5,0)</f>
        <v>1.4897523215040567E-13</v>
      </c>
      <c r="P71" s="14">
        <f t="shared" si="87"/>
        <v>2.136562777003313E-12</v>
      </c>
      <c r="Q71" s="22">
        <f t="shared" si="54"/>
        <v>3.9806453659427267E-12</v>
      </c>
      <c r="R71" s="62">
        <f t="shared" si="55"/>
        <v>293.33333333333729</v>
      </c>
      <c r="S71" s="62">
        <f ca="1">AVERAGE(OFFSET($R$3,0,0,'Données projet'!$E$9+1,1))-AVERAGE(OFFSET($H$3,0,0,'Données projet'!$E$9+1,1))</f>
        <v>285.16422150773082</v>
      </c>
      <c r="T71" s="62">
        <f t="shared" si="88"/>
        <v>448.96462312238845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852.05024844371815</v>
      </c>
      <c r="AN71" s="62">
        <f ca="1">AVERAGE(OFFSET($AM$3,0,0,'Données projet'!$E$10+1,1))-AVERAGE(OFFSET($H$3,0,0,'Données projet'!$E$10+1,1))</f>
        <v>384.44848355636935</v>
      </c>
      <c r="AO71" s="62">
        <f t="shared" si="90"/>
        <v>203.5274665601915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8.6666666666666661</v>
      </c>
      <c r="BD71" s="13">
        <f>IF('Données projet'!$A$88&gt;35,BD70+BC71-BL70,IF(A71&lt;'Données projet'!$A$88,$BA$205^A71,IF(A71='Données projet'!$A$88,'Données projet'!$B$88,BD70+BC71-BL70)))</f>
        <v>319.33333333333343</v>
      </c>
      <c r="BE71" s="14">
        <f>BD71*VLOOKUP('Données projet'!$B$11,Paramètres!$A$1:$I$89,3,0)*VLOOKUP('Données projet'!$B$11,Paramètres!$A$1:$I$89,5,0)</f>
        <v>249.08000000000007</v>
      </c>
      <c r="BF71" s="14">
        <f t="shared" si="91"/>
        <v>60.388894447487807</v>
      </c>
      <c r="BG71" s="22">
        <f t="shared" si="61"/>
        <v>538.99165782937473</v>
      </c>
      <c r="BH71" s="62">
        <f t="shared" si="62"/>
        <v>832.3249911627081</v>
      </c>
      <c r="BI71" s="62">
        <f ca="1">AVERAGE(OFFSET($BH$3,0,0,'Données projet'!$E$11+1,1))-AVERAGE(OFFSET($H$3,0,0,'Données projet'!$E$11+1,1))</f>
        <v>220.70608186257931</v>
      </c>
      <c r="BJ71" s="62">
        <f t="shared" si="92"/>
        <v>208.79744153433245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-1.4102564102564088</v>
      </c>
      <c r="BY71" s="13">
        <f>IF('Données projet'!$A$114&gt;35,BY70+BX71-CG70,IF(A71&lt;'Données projet'!$A$114,$BV$205^A71,IF(A71='Données projet'!$A$114,'Données projet'!$B$114,BY70+BX71-CG70)))</f>
        <v>333.58974358974336</v>
      </c>
      <c r="BZ71" s="14">
        <f>BY71*VLOOKUP('Données projet'!$B$12,Paramètres!$A$1:$I$89,3,0)*VLOOKUP('Données projet'!$B$12,Paramètres!$A$1:$I$89,5,0)</f>
        <v>223.77199999999988</v>
      </c>
      <c r="CA71" s="14">
        <f t="shared" si="93"/>
        <v>54.933898381062988</v>
      </c>
      <c r="CB71" s="22">
        <f t="shared" si="64"/>
        <v>485.4127730136845</v>
      </c>
      <c r="CC71" s="62">
        <f t="shared" si="65"/>
        <v>778.74610634701776</v>
      </c>
      <c r="CD71" s="62">
        <f ca="1">AVERAGE(OFFSET($CC$3,0,0,'Données projet'!$E$12+1,1))-AVERAGE(OFFSET($H$3,0,0,'Données projet'!$E$12+1,1))</f>
        <v>310.47303518828346</v>
      </c>
      <c r="CE71" s="62">
        <f t="shared" si="94"/>
        <v>247.30353382335278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1.7053025658242404E-13</v>
      </c>
      <c r="O72" s="14">
        <f>N72*VLOOKUP('Données projet'!$B$9,Paramètres!$A$1:$I$89,3,0)*VLOOKUP('Données projet'!$B$9,Paramètres!$A$1:$I$89,5,0)</f>
        <v>1.4897523215040567E-13</v>
      </c>
      <c r="P72" s="14">
        <f t="shared" si="87"/>
        <v>2.136562777003313E-12</v>
      </c>
      <c r="Q72" s="22">
        <f t="shared" si="54"/>
        <v>3.9806453659427267E-12</v>
      </c>
      <c r="R72" s="62">
        <f t="shared" si="55"/>
        <v>293.33333333333729</v>
      </c>
      <c r="S72" s="62">
        <f ca="1">AVERAGE(OFFSET($R$3,0,0,'Données projet'!$E$9+1,1))-AVERAGE(OFFSET($H$3,0,0,'Données projet'!$E$9+1,1))</f>
        <v>285.16422150773082</v>
      </c>
      <c r="T72" s="62">
        <f t="shared" si="88"/>
        <v>448.96462312238845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867.72416854456674</v>
      </c>
      <c r="AN72" s="62">
        <f ca="1">AVERAGE(OFFSET($AM$3,0,0,'Données projet'!$E$10+1,1))-AVERAGE(OFFSET($H$3,0,0,'Données projet'!$E$10+1,1))</f>
        <v>384.44848355636935</v>
      </c>
      <c r="AO72" s="62">
        <f t="shared" si="90"/>
        <v>203.5274665601915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328</v>
      </c>
      <c r="BB72" s="13">
        <f>VLOOKUP(A72,'Données projet'!$A$87:$I$107,9,0)</f>
        <v>8.6666666666666661</v>
      </c>
      <c r="BC72" s="13">
        <f t="array" ref="BC72">INDEX(BB:BB,MIN(IF(ISNUMBER(BB72:BB268),ROW(BB72:BB268),"")))</f>
        <v>8.6666666666666661</v>
      </c>
      <c r="BD72" s="13">
        <f>IF('Données projet'!$A$88&gt;35,BD71+BC72-BL71,IF(A72&lt;'Données projet'!$A$88,$BA$205^A72,IF(A72='Données projet'!$A$88,'Données projet'!$B$88,BD71+BC72-BL71)))</f>
        <v>328.00000000000011</v>
      </c>
      <c r="BE72" s="14">
        <f>BD72*VLOOKUP('Données projet'!$B$11,Paramètres!$A$1:$I$89,3,0)*VLOOKUP('Données projet'!$B$11,Paramètres!$A$1:$I$89,5,0)</f>
        <v>255.84000000000009</v>
      </c>
      <c r="BF72" s="14">
        <f t="shared" si="91"/>
        <v>61.834803371075836</v>
      </c>
      <c r="BG72" s="22">
        <f t="shared" si="61"/>
        <v>553.28361587129064</v>
      </c>
      <c r="BH72" s="62">
        <f t="shared" si="62"/>
        <v>846.61694920462401</v>
      </c>
      <c r="BI72" s="62">
        <f ca="1">AVERAGE(OFFSET($BH$3,0,0,'Données projet'!$E$11+1,1))-AVERAGE(OFFSET($H$3,0,0,'Données projet'!$E$11+1,1))</f>
        <v>220.70608186257931</v>
      </c>
      <c r="BJ72" s="62">
        <f t="shared" si="92"/>
        <v>208.79744153433245</v>
      </c>
      <c r="BK72" s="16">
        <f>IF(ISNA(VLOOKUP(A72,'Données projet'!$A$87:$I$107,3,0)),0,VLOOKUP(A72,'Données projet'!$A$87:$I$107,3,0))</f>
        <v>7</v>
      </c>
      <c r="BL72" s="16">
        <f>IF(ISNA(VLOOKUP(A72,'Données projet'!$A$87:$I$107,4,0)),0,VLOOKUP(A72,'Données projet'!$A$87:$I$107,4,0))</f>
        <v>328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-1.4102564102564088</v>
      </c>
      <c r="BY72" s="13">
        <f>IF('Données projet'!$A$114&gt;35,BY71+BX72-CG71,IF(A72&lt;'Données projet'!$A$114,$BV$205^A72,IF(A72='Données projet'!$A$114,'Données projet'!$B$114,BY71+BX72-CG71)))</f>
        <v>332.17948717948696</v>
      </c>
      <c r="BZ72" s="14">
        <f>BY72*VLOOKUP('Données projet'!$B$12,Paramètres!$A$1:$I$89,3,0)*VLOOKUP('Données projet'!$B$12,Paramètres!$A$1:$I$89,5,0)</f>
        <v>222.82599999999985</v>
      </c>
      <c r="CA72" s="14">
        <f t="shared" si="93"/>
        <v>54.728645846036308</v>
      </c>
      <c r="CB72" s="22">
        <f t="shared" si="64"/>
        <v>483.40767484851307</v>
      </c>
      <c r="CC72" s="62">
        <f t="shared" si="65"/>
        <v>776.74100818184638</v>
      </c>
      <c r="CD72" s="62">
        <f ca="1">AVERAGE(OFFSET($CC$3,0,0,'Données projet'!$E$12+1,1))-AVERAGE(OFFSET($H$3,0,0,'Données projet'!$E$12+1,1))</f>
        <v>310.47303518828346</v>
      </c>
      <c r="CE72" s="62">
        <f t="shared" si="94"/>
        <v>247.30353382335278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1.7053025658242404E-13</v>
      </c>
      <c r="O73" s="14">
        <f>N73*VLOOKUP('Données projet'!$B$9,Paramètres!$A$1:$I$89,3,0)*VLOOKUP('Données projet'!$B$9,Paramètres!$A$1:$I$89,5,0)</f>
        <v>1.4897523215040567E-13</v>
      </c>
      <c r="P73" s="14">
        <f t="shared" si="87"/>
        <v>2.136562777003313E-12</v>
      </c>
      <c r="Q73" s="22">
        <f t="shared" si="54"/>
        <v>3.9806453659427267E-12</v>
      </c>
      <c r="R73" s="62">
        <f t="shared" si="55"/>
        <v>293.33333333333729</v>
      </c>
      <c r="S73" s="62">
        <f ca="1">AVERAGE(OFFSET($R$3,0,0,'Données projet'!$E$9+1,1))-AVERAGE(OFFSET($H$3,0,0,'Données projet'!$E$9+1,1))</f>
        <v>285.16422150773082</v>
      </c>
      <c r="T73" s="62">
        <f t="shared" si="88"/>
        <v>448.96462312238845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883.38916182135404</v>
      </c>
      <c r="AN73" s="62">
        <f ca="1">AVERAGE(OFFSET($AM$3,0,0,'Données projet'!$E$10+1,1))-AVERAGE(OFFSET($H$3,0,0,'Données projet'!$E$10+1,1))</f>
        <v>384.44848355636935</v>
      </c>
      <c r="AO73" s="62">
        <f t="shared" si="90"/>
        <v>203.5274665601915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8.8675733422860506E-14</v>
      </c>
      <c r="BF73" s="14">
        <f t="shared" si="91"/>
        <v>1.3509285393066301E-12</v>
      </c>
      <c r="BG73" s="22">
        <f t="shared" si="61"/>
        <v>2.5073107750038623E-12</v>
      </c>
      <c r="BH73" s="62">
        <f t="shared" si="62"/>
        <v>293.33333333333582</v>
      </c>
      <c r="BI73" s="62">
        <f ca="1">AVERAGE(OFFSET($BH$3,0,0,'Données projet'!$E$11+1,1))-AVERAGE(OFFSET($H$3,0,0,'Données projet'!$E$11+1,1))</f>
        <v>220.70608186257931</v>
      </c>
      <c r="BJ73" s="62">
        <f t="shared" si="92"/>
        <v>208.79744153433245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330.76923076923077</v>
      </c>
      <c r="BW73" s="13">
        <f>VLOOKUP(A73,'Données projet'!$A$113:$I$133,9,0)</f>
        <v>-1.4102564102564088</v>
      </c>
      <c r="BX73" s="13">
        <f t="array" ref="BX73">INDEX(BW:BW,MIN(IF(ISNUMBER(BW73:BW269),ROW(BW73:BW269),"")))</f>
        <v>-1.4102564102564088</v>
      </c>
      <c r="BY73" s="13">
        <f>IF('Données projet'!$A$114&gt;35,BY72+BX73-CG72,IF(A73&lt;'Données projet'!$A$114,$BV$205^A73,IF(A73='Données projet'!$A$114,'Données projet'!$B$114,BY72+BX73-CG72)))</f>
        <v>330.76923076923055</v>
      </c>
      <c r="BZ73" s="14">
        <f>BY73*VLOOKUP('Données projet'!$B$12,Paramètres!$A$1:$I$89,3,0)*VLOOKUP('Données projet'!$B$12,Paramètres!$A$1:$I$89,5,0)</f>
        <v>221.87999999999988</v>
      </c>
      <c r="CA73" s="14">
        <f t="shared" si="93"/>
        <v>54.523291855537728</v>
      </c>
      <c r="CB73" s="22">
        <f t="shared" si="64"/>
        <v>481.40239998172791</v>
      </c>
      <c r="CC73" s="62">
        <f t="shared" si="65"/>
        <v>774.73573331506122</v>
      </c>
      <c r="CD73" s="62">
        <f ca="1">AVERAGE(OFFSET($CC$3,0,0,'Données projet'!$E$12+1,1))-AVERAGE(OFFSET($H$3,0,0,'Données projet'!$E$12+1,1))</f>
        <v>310.47303518828346</v>
      </c>
      <c r="CE73" s="62">
        <f t="shared" si="94"/>
        <v>247.30353382335278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1.7053025658242404E-13</v>
      </c>
      <c r="O74" s="14">
        <f>N74*VLOOKUP('Données projet'!$B$9,Paramètres!$A$1:$I$89,3,0)*VLOOKUP('Données projet'!$B$9,Paramètres!$A$1:$I$89,5,0)</f>
        <v>1.4897523215040567E-13</v>
      </c>
      <c r="P74" s="14">
        <f t="shared" si="87"/>
        <v>2.136562777003313E-12</v>
      </c>
      <c r="Q74" s="22">
        <f t="shared" si="54"/>
        <v>3.9806453659427267E-12</v>
      </c>
      <c r="R74" s="62">
        <f t="shared" si="55"/>
        <v>293.33333333333729</v>
      </c>
      <c r="S74" s="62">
        <f ca="1">AVERAGE(OFFSET($R$3,0,0,'Données projet'!$E$9+1,1))-AVERAGE(OFFSET($H$3,0,0,'Données projet'!$E$9+1,1))</f>
        <v>285.16422150773082</v>
      </c>
      <c r="T74" s="62">
        <f t="shared" si="88"/>
        <v>448.96462312238845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280.12607999999994</v>
      </c>
      <c r="AK74" s="14">
        <f t="shared" si="89"/>
        <v>66.993652511337999</v>
      </c>
      <c r="AL74" s="22">
        <f t="shared" si="58"/>
        <v>604.56686745724687</v>
      </c>
      <c r="AM74" s="62">
        <f t="shared" si="59"/>
        <v>897.90020079058013</v>
      </c>
      <c r="AN74" s="62">
        <f ca="1">AVERAGE(OFFSET($AM$3,0,0,'Données projet'!$E$10+1,1))-AVERAGE(OFFSET($H$3,0,0,'Données projet'!$E$10+1,1))</f>
        <v>384.44848355636935</v>
      </c>
      <c r="AO74" s="62">
        <f t="shared" si="90"/>
        <v>203.5274665601915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8.8675733422860506E-14</v>
      </c>
      <c r="BF74" s="14">
        <f t="shared" si="91"/>
        <v>1.3509285393066301E-12</v>
      </c>
      <c r="BG74" s="22">
        <f t="shared" si="61"/>
        <v>2.5073107750038623E-12</v>
      </c>
      <c r="BH74" s="62">
        <f t="shared" si="62"/>
        <v>293.33333333333582</v>
      </c>
      <c r="BI74" s="62">
        <f ca="1">AVERAGE(OFFSET($BH$3,0,0,'Données projet'!$E$11+1,1))-AVERAGE(OFFSET($H$3,0,0,'Données projet'!$E$11+1,1))</f>
        <v>220.70608186257931</v>
      </c>
      <c r="BJ74" s="62">
        <f t="shared" si="92"/>
        <v>208.79744153433245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5.5128205128205083</v>
      </c>
      <c r="BY74" s="13">
        <f>IF('Données projet'!$A$114&gt;35,BY73+BX74-CG73,IF(A74&lt;'Données projet'!$A$114,$BV$205^A74,IF(A74='Données projet'!$A$114,'Données projet'!$B$114,BY73+BX74-CG73)))</f>
        <v>336.28205128205104</v>
      </c>
      <c r="BZ74" s="14">
        <f>BY74*VLOOKUP('Données projet'!$B$12,Paramètres!$A$1:$I$89,3,0)*VLOOKUP('Données projet'!$B$12,Paramètres!$A$1:$I$89,5,0)</f>
        <v>225.57799999999983</v>
      </c>
      <c r="CA74" s="14">
        <f t="shared" si="93"/>
        <v>55.325464130798579</v>
      </c>
      <c r="CB74" s="22">
        <f t="shared" si="64"/>
        <v>489.24020002780725</v>
      </c>
      <c r="CC74" s="62">
        <f t="shared" si="65"/>
        <v>782.57353336114056</v>
      </c>
      <c r="CD74" s="62">
        <f ca="1">AVERAGE(OFFSET($CC$3,0,0,'Données projet'!$E$12+1,1))-AVERAGE(OFFSET($H$3,0,0,'Données projet'!$E$12+1,1))</f>
        <v>310.47303518828346</v>
      </c>
      <c r="CE74" s="62">
        <f t="shared" si="94"/>
        <v>247.30353382335278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1.7053025658242404E-13</v>
      </c>
      <c r="O75" s="14">
        <f>N75*VLOOKUP('Données projet'!$B$9,Paramètres!$A$1:$I$89,3,0)*VLOOKUP('Données projet'!$B$9,Paramètres!$A$1:$I$89,5,0)</f>
        <v>1.4897523215040567E-13</v>
      </c>
      <c r="P75" s="14">
        <f t="shared" si="87"/>
        <v>2.136562777003313E-12</v>
      </c>
      <c r="Q75" s="22">
        <f t="shared" si="54"/>
        <v>3.9806453659427267E-12</v>
      </c>
      <c r="R75" s="62">
        <f t="shared" si="55"/>
        <v>293.33333333333729</v>
      </c>
      <c r="S75" s="62">
        <f ca="1">AVERAGE(OFFSET($R$3,0,0,'Données projet'!$E$9+1,1))-AVERAGE(OFFSET($H$3,0,0,'Données projet'!$E$9+1,1))</f>
        <v>285.16422150773082</v>
      </c>
      <c r="T75" s="62">
        <f t="shared" si="88"/>
        <v>448.96462312238845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287.00255999999996</v>
      </c>
      <c r="AK75" s="14">
        <f t="shared" si="89"/>
        <v>68.444716936118553</v>
      </c>
      <c r="AL75" s="22">
        <f t="shared" si="58"/>
        <v>619.07067399707296</v>
      </c>
      <c r="AM75" s="62">
        <f t="shared" si="59"/>
        <v>912.40400733040633</v>
      </c>
      <c r="AN75" s="62">
        <f ca="1">AVERAGE(OFFSET($AM$3,0,0,'Données projet'!$E$10+1,1))-AVERAGE(OFFSET($H$3,0,0,'Données projet'!$E$10+1,1))</f>
        <v>384.44848355636935</v>
      </c>
      <c r="AO75" s="62">
        <f t="shared" si="90"/>
        <v>203.5274665601915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8.8675733422860506E-14</v>
      </c>
      <c r="BF75" s="14">
        <f t="shared" si="91"/>
        <v>1.3509285393066301E-12</v>
      </c>
      <c r="BG75" s="22">
        <f t="shared" si="61"/>
        <v>2.5073107750038623E-12</v>
      </c>
      <c r="BH75" s="62">
        <f t="shared" si="62"/>
        <v>293.33333333333582</v>
      </c>
      <c r="BI75" s="62">
        <f ca="1">AVERAGE(OFFSET($BH$3,0,0,'Données projet'!$E$11+1,1))-AVERAGE(OFFSET($H$3,0,0,'Données projet'!$E$11+1,1))</f>
        <v>220.70608186257931</v>
      </c>
      <c r="BJ75" s="62">
        <f t="shared" si="92"/>
        <v>208.79744153433245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5.5128205128205083</v>
      </c>
      <c r="BY75" s="13">
        <f>IF('Données projet'!$A$114&gt;35,BY74+BX75-CG74,IF(A75&lt;'Données projet'!$A$114,$BV$205^A75,IF(A75='Données projet'!$A$114,'Données projet'!$B$114,BY74+BX75-CG74)))</f>
        <v>341.79487179487154</v>
      </c>
      <c r="BZ75" s="14">
        <f>BY75*VLOOKUP('Données projet'!$B$12,Paramètres!$A$1:$I$89,3,0)*VLOOKUP('Données projet'!$B$12,Paramètres!$A$1:$I$89,5,0)</f>
        <v>229.27599999999984</v>
      </c>
      <c r="CA75" s="14">
        <f t="shared" si="93"/>
        <v>56.126107090644602</v>
      </c>
      <c r="CB75" s="22">
        <f t="shared" si="64"/>
        <v>497.07533651620571</v>
      </c>
      <c r="CC75" s="62">
        <f t="shared" si="65"/>
        <v>790.40866984953902</v>
      </c>
      <c r="CD75" s="62">
        <f ca="1">AVERAGE(OFFSET($CC$3,0,0,'Données projet'!$E$12+1,1))-AVERAGE(OFFSET($H$3,0,0,'Données projet'!$E$12+1,1))</f>
        <v>310.47303518828346</v>
      </c>
      <c r="CE75" s="62">
        <f t="shared" si="94"/>
        <v>247.30353382335278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1.7053025658242404E-13</v>
      </c>
      <c r="O76" s="14">
        <f>N76*VLOOKUP('Données projet'!$B$9,Paramètres!$A$1:$I$89,3,0)*VLOOKUP('Données projet'!$B$9,Paramètres!$A$1:$I$89,5,0)</f>
        <v>1.4897523215040567E-13</v>
      </c>
      <c r="P76" s="14">
        <f t="shared" si="87"/>
        <v>2.136562777003313E-12</v>
      </c>
      <c r="Q76" s="22">
        <f t="shared" si="54"/>
        <v>3.9806453659427267E-12</v>
      </c>
      <c r="R76" s="62">
        <f t="shared" si="55"/>
        <v>293.33333333333729</v>
      </c>
      <c r="S76" s="62">
        <f ca="1">AVERAGE(OFFSET($R$3,0,0,'Données projet'!$E$9+1,1))-AVERAGE(OFFSET($H$3,0,0,'Données projet'!$E$9+1,1))</f>
        <v>285.16422150773082</v>
      </c>
      <c r="T76" s="62">
        <f t="shared" si="88"/>
        <v>448.96462312238845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293.87903999999997</v>
      </c>
      <c r="AK76" s="14">
        <f t="shared" si="89"/>
        <v>69.891739712361669</v>
      </c>
      <c r="AL76" s="22">
        <f t="shared" si="58"/>
        <v>633.56744133236327</v>
      </c>
      <c r="AM76" s="62">
        <f t="shared" si="59"/>
        <v>926.90077466569664</v>
      </c>
      <c r="AN76" s="62">
        <f ca="1">AVERAGE(OFFSET($AM$3,0,0,'Données projet'!$E$10+1,1))-AVERAGE(OFFSET($H$3,0,0,'Données projet'!$E$10+1,1))</f>
        <v>384.44848355636935</v>
      </c>
      <c r="AO76" s="62">
        <f t="shared" si="90"/>
        <v>203.5274665601915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8.8675733422860506E-14</v>
      </c>
      <c r="BF76" s="14">
        <f t="shared" si="91"/>
        <v>1.3509285393066301E-12</v>
      </c>
      <c r="BG76" s="22">
        <f t="shared" si="61"/>
        <v>2.5073107750038623E-12</v>
      </c>
      <c r="BH76" s="62">
        <f t="shared" si="62"/>
        <v>293.33333333333582</v>
      </c>
      <c r="BI76" s="62">
        <f ca="1">AVERAGE(OFFSET($BH$3,0,0,'Données projet'!$E$11+1,1))-AVERAGE(OFFSET($H$3,0,0,'Données projet'!$E$11+1,1))</f>
        <v>220.70608186257931</v>
      </c>
      <c r="BJ76" s="62">
        <f t="shared" si="92"/>
        <v>208.79744153433245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5.5128205128205083</v>
      </c>
      <c r="BY76" s="13">
        <f>IF('Données projet'!$A$114&gt;35,BY75+BX76-CG75,IF(A76&lt;'Données projet'!$A$114,$BV$205^A76,IF(A76='Données projet'!$A$114,'Données projet'!$B$114,BY75+BX76-CG75)))</f>
        <v>347.30769230769204</v>
      </c>
      <c r="BZ76" s="14">
        <f>BY76*VLOOKUP('Données projet'!$B$12,Paramètres!$A$1:$I$89,3,0)*VLOOKUP('Données projet'!$B$12,Paramètres!$A$1:$I$89,5,0)</f>
        <v>232.97399999999982</v>
      </c>
      <c r="CA76" s="14">
        <f t="shared" si="93"/>
        <v>56.925248249189458</v>
      </c>
      <c r="CB76" s="22">
        <f t="shared" si="64"/>
        <v>504.90785736733795</v>
      </c>
      <c r="CC76" s="62">
        <f t="shared" si="65"/>
        <v>798.24119070067127</v>
      </c>
      <c r="CD76" s="62">
        <f ca="1">AVERAGE(OFFSET($CC$3,0,0,'Données projet'!$E$12+1,1))-AVERAGE(OFFSET($H$3,0,0,'Données projet'!$E$12+1,1))</f>
        <v>310.47303518828346</v>
      </c>
      <c r="CE76" s="62">
        <f t="shared" si="94"/>
        <v>247.30353382335278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1.7053025658242404E-13</v>
      </c>
      <c r="O77" s="14">
        <f>N77*VLOOKUP('Données projet'!$B$9,Paramètres!$A$1:$I$89,3,0)*VLOOKUP('Données projet'!$B$9,Paramètres!$A$1:$I$89,5,0)</f>
        <v>1.4897523215040567E-13</v>
      </c>
      <c r="P77" s="14">
        <f t="shared" si="87"/>
        <v>2.136562777003313E-12</v>
      </c>
      <c r="Q77" s="22">
        <f t="shared" si="54"/>
        <v>3.9806453659427267E-12</v>
      </c>
      <c r="R77" s="62">
        <f t="shared" si="55"/>
        <v>293.33333333333729</v>
      </c>
      <c r="S77" s="62">
        <f ca="1">AVERAGE(OFFSET($R$3,0,0,'Données projet'!$E$9+1,1))-AVERAGE(OFFSET($H$3,0,0,'Données projet'!$E$9+1,1))</f>
        <v>285.16422150773082</v>
      </c>
      <c r="T77" s="62">
        <f t="shared" si="88"/>
        <v>448.96462312238845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300.75551999999999</v>
      </c>
      <c r="AK77" s="14">
        <f t="shared" si="89"/>
        <v>71.334826294482014</v>
      </c>
      <c r="AL77" s="22">
        <f t="shared" si="58"/>
        <v>648.05735312955619</v>
      </c>
      <c r="AM77" s="62">
        <f t="shared" si="59"/>
        <v>941.39068646288956</v>
      </c>
      <c r="AN77" s="62">
        <f ca="1">AVERAGE(OFFSET($AM$3,0,0,'Données projet'!$E$10+1,1))-AVERAGE(OFFSET($H$3,0,0,'Données projet'!$E$10+1,1))</f>
        <v>384.44848355636935</v>
      </c>
      <c r="AO77" s="62">
        <f t="shared" si="90"/>
        <v>203.5274665601915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8.8675733422860506E-14</v>
      </c>
      <c r="BF77" s="14">
        <f t="shared" si="91"/>
        <v>1.3509285393066301E-12</v>
      </c>
      <c r="BG77" s="22">
        <f t="shared" si="61"/>
        <v>2.5073107750038623E-12</v>
      </c>
      <c r="BH77" s="62">
        <f t="shared" si="62"/>
        <v>293.33333333333582</v>
      </c>
      <c r="BI77" s="62">
        <f ca="1">AVERAGE(OFFSET($BH$3,0,0,'Données projet'!$E$11+1,1))-AVERAGE(OFFSET($H$3,0,0,'Données projet'!$E$11+1,1))</f>
        <v>220.70608186257931</v>
      </c>
      <c r="BJ77" s="62">
        <f t="shared" si="92"/>
        <v>208.79744153433245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5.5128205128205083</v>
      </c>
      <c r="BY77" s="13">
        <f>IF('Données projet'!$A$114&gt;35,BY76+BX77-CG76,IF(A77&lt;'Données projet'!$A$114,$BV$205^A77,IF(A77='Données projet'!$A$114,'Données projet'!$B$114,BY76+BX77-CG76)))</f>
        <v>352.82051282051253</v>
      </c>
      <c r="BZ77" s="14">
        <f>BY77*VLOOKUP('Données projet'!$B$12,Paramètres!$A$1:$I$89,3,0)*VLOOKUP('Données projet'!$B$12,Paramètres!$A$1:$I$89,5,0)</f>
        <v>236.67199999999983</v>
      </c>
      <c r="CA77" s="14">
        <f t="shared" si="93"/>
        <v>57.722914196984888</v>
      </c>
      <c r="CB77" s="22">
        <f t="shared" si="64"/>
        <v>512.73780889308171</v>
      </c>
      <c r="CC77" s="62">
        <f t="shared" si="65"/>
        <v>806.07114222641508</v>
      </c>
      <c r="CD77" s="62">
        <f ca="1">AVERAGE(OFFSET($CC$3,0,0,'Données projet'!$E$12+1,1))-AVERAGE(OFFSET($H$3,0,0,'Données projet'!$E$12+1,1))</f>
        <v>310.47303518828346</v>
      </c>
      <c r="CE77" s="62">
        <f t="shared" si="94"/>
        <v>247.30353382335278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1.7053025658242404E-13</v>
      </c>
      <c r="O78" s="14">
        <f>N78*VLOOKUP('Données projet'!$B$9,Paramètres!$A$1:$I$89,3,0)*VLOOKUP('Données projet'!$B$9,Paramètres!$A$1:$I$89,5,0)</f>
        <v>1.4897523215040567E-13</v>
      </c>
      <c r="P78" s="14">
        <f t="shared" si="87"/>
        <v>2.136562777003313E-12</v>
      </c>
      <c r="Q78" s="22">
        <f t="shared" si="54"/>
        <v>3.9806453659427267E-12</v>
      </c>
      <c r="R78" s="62">
        <f t="shared" si="55"/>
        <v>293.33333333333729</v>
      </c>
      <c r="S78" s="62">
        <f ca="1">AVERAGE(OFFSET($R$3,0,0,'Données projet'!$E$9+1,1))-AVERAGE(OFFSET($H$3,0,0,'Données projet'!$E$9+1,1))</f>
        <v>285.16422150773082</v>
      </c>
      <c r="T78" s="62">
        <f t="shared" si="88"/>
        <v>448.96462312238845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307.63200000000006</v>
      </c>
      <c r="AK78" s="14">
        <f t="shared" si="89"/>
        <v>72.774077039465567</v>
      </c>
      <c r="AL78" s="22">
        <f t="shared" si="58"/>
        <v>662.54058417706926</v>
      </c>
      <c r="AM78" s="62">
        <f t="shared" si="59"/>
        <v>955.87391751040263</v>
      </c>
      <c r="AN78" s="62">
        <f ca="1">AVERAGE(OFFSET($AM$3,0,0,'Données projet'!$E$10+1,1))-AVERAGE(OFFSET($H$3,0,0,'Données projet'!$E$10+1,1))</f>
        <v>384.44848355636935</v>
      </c>
      <c r="AO78" s="62">
        <f t="shared" si="90"/>
        <v>203.5274665601915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8.8675733422860506E-14</v>
      </c>
      <c r="BF78" s="14">
        <f t="shared" si="91"/>
        <v>1.3509285393066301E-12</v>
      </c>
      <c r="BG78" s="22">
        <f t="shared" si="61"/>
        <v>2.5073107750038623E-12</v>
      </c>
      <c r="BH78" s="62">
        <f t="shared" si="62"/>
        <v>293.33333333333582</v>
      </c>
      <c r="BI78" s="62">
        <f ca="1">AVERAGE(OFFSET($BH$3,0,0,'Données projet'!$E$11+1,1))-AVERAGE(OFFSET($H$3,0,0,'Données projet'!$E$11+1,1))</f>
        <v>220.70608186257931</v>
      </c>
      <c r="BJ78" s="62">
        <f t="shared" si="92"/>
        <v>208.79744153433245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358.33333333333331</v>
      </c>
      <c r="BW78" s="13">
        <f>VLOOKUP(A78,'Données projet'!$A$113:$I$133,9,0)</f>
        <v>5.5128205128205083</v>
      </c>
      <c r="BX78" s="13">
        <f t="array" ref="BX78">INDEX(BW:BW,MIN(IF(ISNUMBER(BW78:BW274),ROW(BW78:BW274),"")))</f>
        <v>5.5128205128205083</v>
      </c>
      <c r="BY78" s="13">
        <f>IF('Données projet'!$A$114&gt;35,BY77+BX78-CG77,IF(A78&lt;'Données projet'!$A$114,$BV$205^A78,IF(A78='Données projet'!$A$114,'Données projet'!$B$114,BY77+BX78-CG77)))</f>
        <v>358.33333333333303</v>
      </c>
      <c r="BZ78" s="14">
        <f>BY78*VLOOKUP('Données projet'!$B$12,Paramètres!$A$1:$I$89,3,0)*VLOOKUP('Données projet'!$B$12,Paramètres!$A$1:$I$89,5,0)</f>
        <v>240.36999999999981</v>
      </c>
      <c r="CA78" s="14">
        <f t="shared" si="93"/>
        <v>58.519130645958803</v>
      </c>
      <c r="CB78" s="22">
        <f t="shared" si="64"/>
        <v>520.56523587504466</v>
      </c>
      <c r="CC78" s="62">
        <f t="shared" si="65"/>
        <v>813.89856920837792</v>
      </c>
      <c r="CD78" s="62">
        <f ca="1">AVERAGE(OFFSET($CC$3,0,0,'Données projet'!$E$12+1,1))-AVERAGE(OFFSET($H$3,0,0,'Données projet'!$E$12+1,1))</f>
        <v>310.47303518828346</v>
      </c>
      <c r="CE78" s="62">
        <f t="shared" si="94"/>
        <v>247.30353382335278</v>
      </c>
      <c r="CF78" s="16">
        <f>IF(ISNA(VLOOKUP(A78,'Données projet'!$A$113:$I$133,3,0)),0,VLOOKUP(A78,'Données projet'!$A$113:$I$133,3,0))</f>
        <v>7</v>
      </c>
      <c r="CG78" s="16">
        <f>IF(ISNA(VLOOKUP(A78,'Données projet'!$A$113:$I$133,4,0)),0,VLOOKUP(A78,'Données projet'!$A$113:$I$133,4,0))</f>
        <v>33.974358974358971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1.7053025658242404E-13</v>
      </c>
      <c r="O79" s="14">
        <f>N79*VLOOKUP('Données projet'!$B$9,Paramètres!$A$1:$I$89,3,0)*VLOOKUP('Données projet'!$B$9,Paramètres!$A$1:$I$89,5,0)</f>
        <v>1.4897523215040567E-13</v>
      </c>
      <c r="P79" s="14">
        <f t="shared" si="87"/>
        <v>2.136562777003313E-12</v>
      </c>
      <c r="Q79" s="22">
        <f t="shared" si="54"/>
        <v>3.9806453659427267E-12</v>
      </c>
      <c r="R79" s="62">
        <f t="shared" si="55"/>
        <v>293.33333333333729</v>
      </c>
      <c r="S79" s="62">
        <f ca="1">AVERAGE(OFFSET($R$3,0,0,'Données projet'!$E$9+1,1))-AVERAGE(OFFSET($H$3,0,0,'Données projet'!$E$9+1,1))</f>
        <v>285.16422150773082</v>
      </c>
      <c r="T79" s="62">
        <f t="shared" si="88"/>
        <v>448.96462312238845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263.47776000000005</v>
      </c>
      <c r="AK79" s="14">
        <f t="shared" si="89"/>
        <v>63.46312159763346</v>
      </c>
      <c r="AL79" s="22">
        <f t="shared" si="58"/>
        <v>569.42203544921165</v>
      </c>
      <c r="AM79" s="62">
        <f t="shared" si="59"/>
        <v>862.75536878254502</v>
      </c>
      <c r="AN79" s="62">
        <f ca="1">AVERAGE(OFFSET($AM$3,0,0,'Données projet'!$E$10+1,1))-AVERAGE(OFFSET($H$3,0,0,'Données projet'!$E$10+1,1))</f>
        <v>384.44848355636935</v>
      </c>
      <c r="AO79" s="62">
        <f t="shared" si="90"/>
        <v>203.5274665601915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8.8675733422860506E-14</v>
      </c>
      <c r="BF79" s="14">
        <f t="shared" si="91"/>
        <v>1.3509285393066301E-12</v>
      </c>
      <c r="BG79" s="22">
        <f t="shared" si="61"/>
        <v>2.5073107750038623E-12</v>
      </c>
      <c r="BH79" s="62">
        <f t="shared" si="62"/>
        <v>293.33333333333582</v>
      </c>
      <c r="BI79" s="62">
        <f ca="1">AVERAGE(OFFSET($BH$3,0,0,'Données projet'!$E$11+1,1))-AVERAGE(OFFSET($H$3,0,0,'Données projet'!$E$11+1,1))</f>
        <v>220.70608186257931</v>
      </c>
      <c r="BJ79" s="62">
        <f t="shared" si="92"/>
        <v>208.79744153433245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5.3846153846153815</v>
      </c>
      <c r="BY79" s="13">
        <f>IF('Données projet'!$A$114&gt;35,BY78+BX79-CG78,IF(A79&lt;'Données projet'!$A$114,$BV$205^A79,IF(A79='Données projet'!$A$114,'Données projet'!$B$114,BY78+BX79-CG78)))</f>
        <v>329.74358974358944</v>
      </c>
      <c r="BZ79" s="14">
        <f>BY79*VLOOKUP('Données projet'!$B$12,Paramètres!$A$1:$I$89,3,0)*VLOOKUP('Données projet'!$B$12,Paramètres!$A$1:$I$89,5,0)</f>
        <v>221.19199999999981</v>
      </c>
      <c r="CA79" s="14">
        <f t="shared" si="93"/>
        <v>54.373879499070561</v>
      </c>
      <c r="CB79" s="22">
        <f t="shared" si="64"/>
        <v>479.94390679421417</v>
      </c>
      <c r="CC79" s="62">
        <f t="shared" si="65"/>
        <v>773.27724012754743</v>
      </c>
      <c r="CD79" s="62">
        <f ca="1">AVERAGE(OFFSET($CC$3,0,0,'Données projet'!$E$12+1,1))-AVERAGE(OFFSET($H$3,0,0,'Données projet'!$E$12+1,1))</f>
        <v>310.47303518828346</v>
      </c>
      <c r="CE79" s="62">
        <f t="shared" si="94"/>
        <v>247.30353382335278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1.7053025658242404E-13</v>
      </c>
      <c r="O80" s="14">
        <f>N80*VLOOKUP('Données projet'!$B$9,Paramètres!$A$1:$I$89,3,0)*VLOOKUP('Données projet'!$B$9,Paramètres!$A$1:$I$89,5,0)</f>
        <v>1.4897523215040567E-13</v>
      </c>
      <c r="P80" s="14">
        <f t="shared" si="87"/>
        <v>2.136562777003313E-12</v>
      </c>
      <c r="Q80" s="22">
        <f t="shared" si="54"/>
        <v>3.9806453659427267E-12</v>
      </c>
      <c r="R80" s="62">
        <f t="shared" si="55"/>
        <v>293.33333333333729</v>
      </c>
      <c r="S80" s="62">
        <f ca="1">AVERAGE(OFFSET($R$3,0,0,'Données projet'!$E$9+1,1))-AVERAGE(OFFSET($H$3,0,0,'Données projet'!$E$9+1,1))</f>
        <v>285.16422150773082</v>
      </c>
      <c r="T80" s="62">
        <f t="shared" si="88"/>
        <v>448.96462312238845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269.99232000000001</v>
      </c>
      <c r="AK80" s="14">
        <f t="shared" si="89"/>
        <v>64.847639395310296</v>
      </c>
      <c r="AL80" s="22">
        <f t="shared" si="58"/>
        <v>583.17959594683214</v>
      </c>
      <c r="AM80" s="62">
        <f t="shared" si="59"/>
        <v>876.51292928016551</v>
      </c>
      <c r="AN80" s="62">
        <f ca="1">AVERAGE(OFFSET($AM$3,0,0,'Données projet'!$E$10+1,1))-AVERAGE(OFFSET($H$3,0,0,'Données projet'!$E$10+1,1))</f>
        <v>384.44848355636935</v>
      </c>
      <c r="AO80" s="62">
        <f t="shared" si="90"/>
        <v>203.5274665601915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8.8675733422860506E-14</v>
      </c>
      <c r="BF80" s="14">
        <f t="shared" si="91"/>
        <v>1.3509285393066301E-12</v>
      </c>
      <c r="BG80" s="22">
        <f t="shared" si="61"/>
        <v>2.5073107750038623E-12</v>
      </c>
      <c r="BH80" s="62">
        <f t="shared" si="62"/>
        <v>293.33333333333582</v>
      </c>
      <c r="BI80" s="62">
        <f ca="1">AVERAGE(OFFSET($BH$3,0,0,'Données projet'!$E$11+1,1))-AVERAGE(OFFSET($H$3,0,0,'Données projet'!$E$11+1,1))</f>
        <v>220.70608186257931</v>
      </c>
      <c r="BJ80" s="62">
        <f t="shared" si="92"/>
        <v>208.79744153433245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5.3846153846153815</v>
      </c>
      <c r="BY80" s="13">
        <f>IF('Données projet'!$A$114&gt;35,BY79+BX80-CG79,IF(A80&lt;'Données projet'!$A$114,$BV$205^A80,IF(A80='Données projet'!$A$114,'Données projet'!$B$114,BY79+BX80-CG79)))</f>
        <v>335.1282051282048</v>
      </c>
      <c r="BZ80" s="14">
        <f>BY80*VLOOKUP('Données projet'!$B$12,Paramètres!$A$1:$I$89,3,0)*VLOOKUP('Données projet'!$B$12,Paramètres!$A$1:$I$89,5,0)</f>
        <v>224.8039999999998</v>
      </c>
      <c r="CA80" s="14">
        <f t="shared" si="93"/>
        <v>55.157695090311243</v>
      </c>
      <c r="CB80" s="22">
        <f t="shared" si="64"/>
        <v>487.59995228229172</v>
      </c>
      <c r="CC80" s="62">
        <f t="shared" si="65"/>
        <v>780.93328561562498</v>
      </c>
      <c r="CD80" s="62">
        <f ca="1">AVERAGE(OFFSET($CC$3,0,0,'Données projet'!$E$12+1,1))-AVERAGE(OFFSET($H$3,0,0,'Données projet'!$E$12+1,1))</f>
        <v>310.47303518828346</v>
      </c>
      <c r="CE80" s="62">
        <f t="shared" si="94"/>
        <v>247.30353382335278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1.7053025658242404E-13</v>
      </c>
      <c r="O81" s="14">
        <f>N81*VLOOKUP('Données projet'!$B$9,Paramètres!$A$1:$I$89,3,0)*VLOOKUP('Données projet'!$B$9,Paramètres!$A$1:$I$89,5,0)</f>
        <v>1.4897523215040567E-13</v>
      </c>
      <c r="P81" s="14">
        <f t="shared" si="87"/>
        <v>2.136562777003313E-12</v>
      </c>
      <c r="Q81" s="22">
        <f t="shared" si="54"/>
        <v>3.9806453659427267E-12</v>
      </c>
      <c r="R81" s="62">
        <f t="shared" si="55"/>
        <v>293.33333333333729</v>
      </c>
      <c r="S81" s="62">
        <f ca="1">AVERAGE(OFFSET($R$3,0,0,'Données projet'!$E$9+1,1))-AVERAGE(OFFSET($H$3,0,0,'Données projet'!$E$9+1,1))</f>
        <v>285.16422150773082</v>
      </c>
      <c r="T81" s="62">
        <f t="shared" si="88"/>
        <v>448.96462312238845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276.50687999999997</v>
      </c>
      <c r="AK81" s="14">
        <f t="shared" si="89"/>
        <v>66.228273722513677</v>
      </c>
      <c r="AL81" s="22">
        <f t="shared" si="58"/>
        <v>596.93039273337797</v>
      </c>
      <c r="AM81" s="62">
        <f t="shared" si="59"/>
        <v>890.26372606671134</v>
      </c>
      <c r="AN81" s="62">
        <f ca="1">AVERAGE(OFFSET($AM$3,0,0,'Données projet'!$E$10+1,1))-AVERAGE(OFFSET($H$3,0,0,'Données projet'!$E$10+1,1))</f>
        <v>384.44848355636935</v>
      </c>
      <c r="AO81" s="62">
        <f t="shared" si="90"/>
        <v>203.5274665601915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8.8675733422860506E-14</v>
      </c>
      <c r="BF81" s="14">
        <f t="shared" si="91"/>
        <v>1.3509285393066301E-12</v>
      </c>
      <c r="BG81" s="22">
        <f t="shared" si="61"/>
        <v>2.5073107750038623E-12</v>
      </c>
      <c r="BH81" s="62">
        <f t="shared" si="62"/>
        <v>293.33333333333582</v>
      </c>
      <c r="BI81" s="62">
        <f ca="1">AVERAGE(OFFSET($BH$3,0,0,'Données projet'!$E$11+1,1))-AVERAGE(OFFSET($H$3,0,0,'Données projet'!$E$11+1,1))</f>
        <v>220.70608186257931</v>
      </c>
      <c r="BJ81" s="62">
        <f t="shared" si="92"/>
        <v>208.79744153433245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5.3846153846153815</v>
      </c>
      <c r="BY81" s="13">
        <f>IF('Données projet'!$A$114&gt;35,BY80+BX81-CG80,IF(A81&lt;'Données projet'!$A$114,$BV$205^A81,IF(A81='Données projet'!$A$114,'Données projet'!$B$114,BY80+BX81-CG80)))</f>
        <v>340.51282051282016</v>
      </c>
      <c r="BZ81" s="14">
        <f>BY81*VLOOKUP('Données projet'!$B$12,Paramètres!$A$1:$I$89,3,0)*VLOOKUP('Données projet'!$B$12,Paramètres!$A$1:$I$89,5,0)</f>
        <v>228.41599999999977</v>
      </c>
      <c r="CA81" s="14">
        <f t="shared" si="93"/>
        <v>55.940046063816482</v>
      </c>
      <c r="CB81" s="22">
        <f t="shared" si="64"/>
        <v>495.25344689448002</v>
      </c>
      <c r="CC81" s="62">
        <f t="shared" si="65"/>
        <v>788.58678022781328</v>
      </c>
      <c r="CD81" s="62">
        <f ca="1">AVERAGE(OFFSET($CC$3,0,0,'Données projet'!$E$12+1,1))-AVERAGE(OFFSET($H$3,0,0,'Données projet'!$E$12+1,1))</f>
        <v>310.47303518828346</v>
      </c>
      <c r="CE81" s="62">
        <f t="shared" si="94"/>
        <v>247.30353382335278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1.7053025658242404E-13</v>
      </c>
      <c r="O82" s="14">
        <f>N82*VLOOKUP('Données projet'!$B$9,Paramètres!$A$1:$I$89,3,0)*VLOOKUP('Données projet'!$B$9,Paramètres!$A$1:$I$89,5,0)</f>
        <v>1.4897523215040567E-13</v>
      </c>
      <c r="P82" s="14">
        <f t="shared" si="87"/>
        <v>2.136562777003313E-12</v>
      </c>
      <c r="Q82" s="22">
        <f t="shared" si="54"/>
        <v>3.9806453659427267E-12</v>
      </c>
      <c r="R82" s="62">
        <f t="shared" si="55"/>
        <v>293.33333333333729</v>
      </c>
      <c r="S82" s="62">
        <f ca="1">AVERAGE(OFFSET($R$3,0,0,'Données projet'!$E$9+1,1))-AVERAGE(OFFSET($H$3,0,0,'Données projet'!$E$9+1,1))</f>
        <v>285.16422150773082</v>
      </c>
      <c r="T82" s="62">
        <f t="shared" si="88"/>
        <v>448.96462312238845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283.02144000000004</v>
      </c>
      <c r="AK82" s="14">
        <f t="shared" si="89"/>
        <v>67.605126603830598</v>
      </c>
      <c r="AL82" s="22">
        <f t="shared" si="58"/>
        <v>610.67460350167164</v>
      </c>
      <c r="AM82" s="62">
        <f t="shared" si="59"/>
        <v>904.00793683500501</v>
      </c>
      <c r="AN82" s="62">
        <f ca="1">AVERAGE(OFFSET($AM$3,0,0,'Données projet'!$E$10+1,1))-AVERAGE(OFFSET($H$3,0,0,'Données projet'!$E$10+1,1))</f>
        <v>384.44848355636935</v>
      </c>
      <c r="AO82" s="62">
        <f t="shared" si="90"/>
        <v>203.5274665601915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8.8675733422860506E-14</v>
      </c>
      <c r="BF82" s="14">
        <f t="shared" si="91"/>
        <v>1.3509285393066301E-12</v>
      </c>
      <c r="BG82" s="22">
        <f t="shared" si="61"/>
        <v>2.5073107750038623E-12</v>
      </c>
      <c r="BH82" s="62">
        <f t="shared" si="62"/>
        <v>293.33333333333582</v>
      </c>
      <c r="BI82" s="62">
        <f ca="1">AVERAGE(OFFSET($BH$3,0,0,'Données projet'!$E$11+1,1))-AVERAGE(OFFSET($H$3,0,0,'Données projet'!$E$11+1,1))</f>
        <v>220.70608186257931</v>
      </c>
      <c r="BJ82" s="62">
        <f t="shared" si="92"/>
        <v>208.79744153433245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5.3846153846153815</v>
      </c>
      <c r="BY82" s="13">
        <f>IF('Données projet'!$A$114&gt;35,BY81+BX82-CG81,IF(A82&lt;'Données projet'!$A$114,$BV$205^A82,IF(A82='Données projet'!$A$114,'Données projet'!$B$114,BY81+BX82-CG81)))</f>
        <v>345.89743589743551</v>
      </c>
      <c r="BZ82" s="14">
        <f>BY82*VLOOKUP('Données projet'!$B$12,Paramètres!$A$1:$I$89,3,0)*VLOOKUP('Données projet'!$B$12,Paramètres!$A$1:$I$89,5,0)</f>
        <v>232.02799999999976</v>
      </c>
      <c r="CA82" s="14">
        <f t="shared" si="93"/>
        <v>56.720958254211382</v>
      </c>
      <c r="CB82" s="22">
        <f t="shared" si="64"/>
        <v>502.90443562608442</v>
      </c>
      <c r="CC82" s="62">
        <f t="shared" si="65"/>
        <v>796.23776895941774</v>
      </c>
      <c r="CD82" s="62">
        <f ca="1">AVERAGE(OFFSET($CC$3,0,0,'Données projet'!$E$12+1,1))-AVERAGE(OFFSET($H$3,0,0,'Données projet'!$E$12+1,1))</f>
        <v>310.47303518828346</v>
      </c>
      <c r="CE82" s="62">
        <f t="shared" si="94"/>
        <v>247.30353382335278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1.7053025658242404E-13</v>
      </c>
      <c r="O83" s="14">
        <f>N83*VLOOKUP('Données projet'!$B$9,Paramètres!$A$1:$I$89,3,0)*VLOOKUP('Données projet'!$B$9,Paramètres!$A$1:$I$89,5,0)</f>
        <v>1.4897523215040567E-13</v>
      </c>
      <c r="P83" s="14">
        <f t="shared" si="87"/>
        <v>2.136562777003313E-12</v>
      </c>
      <c r="Q83" s="22">
        <f t="shared" si="54"/>
        <v>3.9806453659427267E-12</v>
      </c>
      <c r="R83" s="62">
        <f t="shared" si="55"/>
        <v>293.33333333333729</v>
      </c>
      <c r="S83" s="62">
        <f ca="1">AVERAGE(OFFSET($R$3,0,0,'Données projet'!$E$9+1,1))-AVERAGE(OFFSET($H$3,0,0,'Données projet'!$E$9+1,1))</f>
        <v>285.16422150773082</v>
      </c>
      <c r="T83" s="62">
        <f t="shared" si="88"/>
        <v>448.96462312238845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289.536</v>
      </c>
      <c r="AK83" s="14">
        <f t="shared" si="89"/>
        <v>68.97829509904436</v>
      </c>
      <c r="AL83" s="22">
        <f t="shared" si="58"/>
        <v>624.41239729750225</v>
      </c>
      <c r="AM83" s="62">
        <f t="shared" si="59"/>
        <v>917.74573063083562</v>
      </c>
      <c r="AN83" s="62">
        <f ca="1">AVERAGE(OFFSET($AM$3,0,0,'Données projet'!$E$10+1,1))-AVERAGE(OFFSET($H$3,0,0,'Données projet'!$E$10+1,1))</f>
        <v>384.44848355636935</v>
      </c>
      <c r="AO83" s="62">
        <f t="shared" si="90"/>
        <v>203.5274665601915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8.8675733422860506E-14</v>
      </c>
      <c r="BF83" s="14">
        <f t="shared" si="91"/>
        <v>1.3509285393066301E-12</v>
      </c>
      <c r="BG83" s="22">
        <f t="shared" si="61"/>
        <v>2.5073107750038623E-12</v>
      </c>
      <c r="BH83" s="62">
        <f t="shared" si="62"/>
        <v>293.33333333333582</v>
      </c>
      <c r="BI83" s="62">
        <f ca="1">AVERAGE(OFFSET($BH$3,0,0,'Données projet'!$E$11+1,1))-AVERAGE(OFFSET($H$3,0,0,'Données projet'!$E$11+1,1))</f>
        <v>220.70608186257931</v>
      </c>
      <c r="BJ83" s="62">
        <f t="shared" si="92"/>
        <v>208.79744153433245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351.28205128205127</v>
      </c>
      <c r="BW83" s="13">
        <f>VLOOKUP(A83,'Données projet'!$A$113:$I$133,9,0)</f>
        <v>5.3846153846153815</v>
      </c>
      <c r="BX83" s="13">
        <f t="array" ref="BX83">INDEX(BW:BW,MIN(IF(ISNUMBER(BW83:BW279),ROW(BW83:BW279),"")))</f>
        <v>5.3846153846153815</v>
      </c>
      <c r="BY83" s="13">
        <f>IF('Données projet'!$A$114&gt;35,BY82+BX83-CG82,IF(A83&lt;'Données projet'!$A$114,$BV$205^A83,IF(A83='Données projet'!$A$114,'Données projet'!$B$114,BY82+BX83-CG82)))</f>
        <v>351.28205128205087</v>
      </c>
      <c r="BZ83" s="14">
        <f>BY83*VLOOKUP('Données projet'!$B$12,Paramètres!$A$1:$I$89,3,0)*VLOOKUP('Données projet'!$B$12,Paramètres!$A$1:$I$89,5,0)</f>
        <v>235.63999999999973</v>
      </c>
      <c r="CA83" s="14">
        <f t="shared" si="93"/>
        <v>57.500456645636859</v>
      </c>
      <c r="CB83" s="22">
        <f t="shared" si="64"/>
        <v>510.55296199115043</v>
      </c>
      <c r="CC83" s="62">
        <f t="shared" si="65"/>
        <v>803.88629532448374</v>
      </c>
      <c r="CD83" s="62">
        <f ca="1">AVERAGE(OFFSET($CC$3,0,0,'Données projet'!$E$12+1,1))-AVERAGE(OFFSET($H$3,0,0,'Données projet'!$E$12+1,1))</f>
        <v>310.47303518828346</v>
      </c>
      <c r="CE83" s="62">
        <f t="shared" si="94"/>
        <v>247.30353382335278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1.7053025658242404E-13</v>
      </c>
      <c r="O84" s="14">
        <f>N84*VLOOKUP('Données projet'!$B$9,Paramètres!$A$1:$I$89,3,0)*VLOOKUP('Données projet'!$B$9,Paramètres!$A$1:$I$89,5,0)</f>
        <v>1.4897523215040567E-13</v>
      </c>
      <c r="P84" s="14">
        <f t="shared" si="87"/>
        <v>2.136562777003313E-12</v>
      </c>
      <c r="Q84" s="22">
        <f t="shared" si="54"/>
        <v>3.9806453659427267E-12</v>
      </c>
      <c r="R84" s="62">
        <f t="shared" si="55"/>
        <v>293.33333333333729</v>
      </c>
      <c r="S84" s="62">
        <f ca="1">AVERAGE(OFFSET($R$3,0,0,'Données projet'!$E$9+1,1))-AVERAGE(OFFSET($H$3,0,0,'Données projet'!$E$9+1,1))</f>
        <v>285.16422150773082</v>
      </c>
      <c r="T84" s="62">
        <f t="shared" si="88"/>
        <v>448.96462312238845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3.8</v>
      </c>
      <c r="AI84" s="14">
        <f>IF('Données projet'!$A$62&gt;35,AI83+AH84-AQ83,IF(A84&lt;'Données projet'!$A$62,$AF$205^A84,IF(A84='Données projet'!$A$62,'Données projet'!$B$62,AI83+AH84-AQ83)))</f>
        <v>323.8</v>
      </c>
      <c r="AJ84" s="14">
        <f>AI84*VLOOKUP('Données projet'!$B$10,Paramètres!$A$1:$I$89,3,0)*VLOOKUP('Données projet'!$B$10,Paramètres!$A$1:$I$89,5,0)</f>
        <v>292.97424000000001</v>
      </c>
      <c r="AK84" s="14">
        <f t="shared" si="89"/>
        <v>69.701569084730806</v>
      </c>
      <c r="AL84" s="22">
        <f t="shared" si="58"/>
        <v>631.66036748923955</v>
      </c>
      <c r="AM84" s="62">
        <f t="shared" si="59"/>
        <v>924.99370082257292</v>
      </c>
      <c r="AN84" s="62">
        <f ca="1">AVERAGE(OFFSET($AM$3,0,0,'Données projet'!$E$10+1,1))-AVERAGE(OFFSET($H$3,0,0,'Données projet'!$E$10+1,1))</f>
        <v>384.44848355636935</v>
      </c>
      <c r="AO84" s="62">
        <f t="shared" si="90"/>
        <v>203.5274665601915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8.8675733422860506E-14</v>
      </c>
      <c r="BF84" s="14">
        <f t="shared" si="91"/>
        <v>1.3509285393066301E-12</v>
      </c>
      <c r="BG84" s="22">
        <f t="shared" si="61"/>
        <v>2.5073107750038623E-12</v>
      </c>
      <c r="BH84" s="62">
        <f t="shared" si="62"/>
        <v>293.33333333333582</v>
      </c>
      <c r="BI84" s="62">
        <f ca="1">AVERAGE(OFFSET($BH$3,0,0,'Données projet'!$E$11+1,1))-AVERAGE(OFFSET($H$3,0,0,'Données projet'!$E$11+1,1))</f>
        <v>220.70608186257931</v>
      </c>
      <c r="BJ84" s="62">
        <f t="shared" si="92"/>
        <v>208.79744153433245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4.8717948717948731</v>
      </c>
      <c r="BY84" s="13">
        <f>IF('Données projet'!$A$114&gt;35,BY83+BX84-CG83,IF(A84&lt;'Données projet'!$A$114,$BV$205^A84,IF(A84='Données projet'!$A$114,'Données projet'!$B$114,BY83+BX84-CG83)))</f>
        <v>356.15384615384573</v>
      </c>
      <c r="BZ84" s="14">
        <f>BY84*VLOOKUP('Données projet'!$B$12,Paramètres!$A$1:$I$89,3,0)*VLOOKUP('Données projet'!$B$12,Paramètres!$A$1:$I$89,5,0)</f>
        <v>238.9079999999997</v>
      </c>
      <c r="CA84" s="14">
        <f t="shared" si="93"/>
        <v>58.204519040177651</v>
      </c>
      <c r="CB84" s="22">
        <f t="shared" si="64"/>
        <v>517.47097066164213</v>
      </c>
      <c r="CC84" s="62">
        <f t="shared" si="65"/>
        <v>810.8043039949755</v>
      </c>
      <c r="CD84" s="62">
        <f ca="1">AVERAGE(OFFSET($CC$3,0,0,'Données projet'!$E$12+1,1))-AVERAGE(OFFSET($H$3,0,0,'Données projet'!$E$12+1,1))</f>
        <v>310.47303518828346</v>
      </c>
      <c r="CE84" s="62">
        <f t="shared" si="94"/>
        <v>247.30353382335278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1.7053025658242404E-13</v>
      </c>
      <c r="O85" s="14">
        <f>N85*VLOOKUP('Données projet'!$B$9,Paramètres!$A$1:$I$89,3,0)*VLOOKUP('Données projet'!$B$9,Paramètres!$A$1:$I$89,5,0)</f>
        <v>1.4897523215040567E-13</v>
      </c>
      <c r="P85" s="14">
        <f t="shared" si="87"/>
        <v>2.136562777003313E-12</v>
      </c>
      <c r="Q85" s="22">
        <f t="shared" si="54"/>
        <v>3.9806453659427267E-12</v>
      </c>
      <c r="R85" s="62">
        <f t="shared" si="55"/>
        <v>293.33333333333729</v>
      </c>
      <c r="S85" s="62">
        <f ca="1">AVERAGE(OFFSET($R$3,0,0,'Données projet'!$E$9+1,1))-AVERAGE(OFFSET($H$3,0,0,'Données projet'!$E$9+1,1))</f>
        <v>285.16422150773082</v>
      </c>
      <c r="T85" s="62">
        <f t="shared" si="88"/>
        <v>448.96462312238845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3.8</v>
      </c>
      <c r="AI85" s="14">
        <f>IF('Données projet'!$A$62&gt;35,AI84+AH85-AQ84,IF(A85&lt;'Données projet'!$A$62,$AF$205^A85,IF(A85='Données projet'!$A$62,'Données projet'!$B$62,AI84+AH85-AQ84)))</f>
        <v>327.60000000000002</v>
      </c>
      <c r="AJ85" s="14">
        <f>AI85*VLOOKUP('Données projet'!$B$10,Paramètres!$A$1:$I$89,3,0)*VLOOKUP('Données projet'!$B$10,Paramètres!$A$1:$I$89,5,0)</f>
        <v>296.41248000000002</v>
      </c>
      <c r="AK85" s="14">
        <f t="shared" si="89"/>
        <v>70.423855708154761</v>
      </c>
      <c r="AL85" s="22">
        <f t="shared" si="58"/>
        <v>638.90661802503621</v>
      </c>
      <c r="AM85" s="62">
        <f t="shared" si="59"/>
        <v>932.23995135836958</v>
      </c>
      <c r="AN85" s="62">
        <f ca="1">AVERAGE(OFFSET($AM$3,0,0,'Données projet'!$E$10+1,1))-AVERAGE(OFFSET($H$3,0,0,'Données projet'!$E$10+1,1))</f>
        <v>384.44848355636935</v>
      </c>
      <c r="AO85" s="62">
        <f t="shared" si="90"/>
        <v>203.5274665601915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8.8675733422860506E-14</v>
      </c>
      <c r="BF85" s="14">
        <f t="shared" si="91"/>
        <v>1.3509285393066301E-12</v>
      </c>
      <c r="BG85" s="22">
        <f t="shared" si="61"/>
        <v>2.5073107750038623E-12</v>
      </c>
      <c r="BH85" s="62">
        <f t="shared" si="62"/>
        <v>293.33333333333582</v>
      </c>
      <c r="BI85" s="62">
        <f ca="1">AVERAGE(OFFSET($BH$3,0,0,'Données projet'!$E$11+1,1))-AVERAGE(OFFSET($H$3,0,0,'Données projet'!$E$11+1,1))</f>
        <v>220.70608186257931</v>
      </c>
      <c r="BJ85" s="62">
        <f t="shared" si="92"/>
        <v>208.79744153433245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4.8717948717948731</v>
      </c>
      <c r="BY85" s="13">
        <f>IF('Données projet'!$A$114&gt;35,BY84+BX85-CG84,IF(A85&lt;'Données projet'!$A$114,$BV$205^A85,IF(A85='Données projet'!$A$114,'Données projet'!$B$114,BY84+BX85-CG84)))</f>
        <v>361.0256410256406</v>
      </c>
      <c r="BZ85" s="14">
        <f>BY85*VLOOKUP('Données projet'!$B$12,Paramètres!$A$1:$I$89,3,0)*VLOOKUP('Données projet'!$B$12,Paramètres!$A$1:$I$89,5,0)</f>
        <v>242.17599999999973</v>
      </c>
      <c r="CA85" s="14">
        <f t="shared" si="93"/>
        <v>58.907461264288798</v>
      </c>
      <c r="CB85" s="22">
        <f t="shared" si="64"/>
        <v>524.38702836863592</v>
      </c>
      <c r="CC85" s="62">
        <f t="shared" si="65"/>
        <v>817.7203617019693</v>
      </c>
      <c r="CD85" s="62">
        <f ca="1">AVERAGE(OFFSET($CC$3,0,0,'Données projet'!$E$12+1,1))-AVERAGE(OFFSET($H$3,0,0,'Données projet'!$E$12+1,1))</f>
        <v>310.47303518828346</v>
      </c>
      <c r="CE85" s="62">
        <f t="shared" si="94"/>
        <v>247.30353382335278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1.7053025658242404E-13</v>
      </c>
      <c r="O86" s="14">
        <f>N86*VLOOKUP('Données projet'!$B$9,Paramètres!$A$1:$I$89,3,0)*VLOOKUP('Données projet'!$B$9,Paramètres!$A$1:$I$89,5,0)</f>
        <v>1.4897523215040567E-13</v>
      </c>
      <c r="P86" s="14">
        <f t="shared" si="87"/>
        <v>2.136562777003313E-12</v>
      </c>
      <c r="Q86" s="22">
        <f t="shared" si="54"/>
        <v>3.9806453659427267E-12</v>
      </c>
      <c r="R86" s="62">
        <f t="shared" si="55"/>
        <v>293.33333333333729</v>
      </c>
      <c r="S86" s="62">
        <f ca="1">AVERAGE(OFFSET($R$3,0,0,'Données projet'!$E$9+1,1))-AVERAGE(OFFSET($H$3,0,0,'Données projet'!$E$9+1,1))</f>
        <v>285.16422150773082</v>
      </c>
      <c r="T86" s="62">
        <f t="shared" si="88"/>
        <v>448.96462312238845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3.8</v>
      </c>
      <c r="AI86" s="14">
        <f>IF('Données projet'!$A$62&gt;35,AI85+AH86-AQ85,IF(A86&lt;'Données projet'!$A$62,$AF$205^A86,IF(A86='Données projet'!$A$62,'Données projet'!$B$62,AI85+AH86-AQ85)))</f>
        <v>331.40000000000003</v>
      </c>
      <c r="AJ86" s="14">
        <f>AI86*VLOOKUP('Données projet'!$B$10,Paramètres!$A$1:$I$89,3,0)*VLOOKUP('Données projet'!$B$10,Paramètres!$A$1:$I$89,5,0)</f>
        <v>299.85072000000002</v>
      </c>
      <c r="AK86" s="14">
        <f t="shared" si="89"/>
        <v>71.145167747304328</v>
      </c>
      <c r="AL86" s="22">
        <f t="shared" si="58"/>
        <v>646.15117115988835</v>
      </c>
      <c r="AM86" s="62">
        <f t="shared" si="59"/>
        <v>939.48450449322172</v>
      </c>
      <c r="AN86" s="62">
        <f ca="1">AVERAGE(OFFSET($AM$3,0,0,'Données projet'!$E$10+1,1))-AVERAGE(OFFSET($H$3,0,0,'Données projet'!$E$10+1,1))</f>
        <v>384.44848355636935</v>
      </c>
      <c r="AO86" s="62">
        <f t="shared" si="90"/>
        <v>203.5274665601915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8.8675733422860506E-14</v>
      </c>
      <c r="BF86" s="14">
        <f t="shared" si="91"/>
        <v>1.3509285393066301E-12</v>
      </c>
      <c r="BG86" s="22">
        <f t="shared" si="61"/>
        <v>2.5073107750038623E-12</v>
      </c>
      <c r="BH86" s="62">
        <f t="shared" si="62"/>
        <v>293.33333333333582</v>
      </c>
      <c r="BI86" s="62">
        <f ca="1">AVERAGE(OFFSET($BH$3,0,0,'Données projet'!$E$11+1,1))-AVERAGE(OFFSET($H$3,0,0,'Données projet'!$E$11+1,1))</f>
        <v>220.70608186257931</v>
      </c>
      <c r="BJ86" s="62">
        <f t="shared" si="92"/>
        <v>208.79744153433245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4.8717948717948731</v>
      </c>
      <c r="BY86" s="13">
        <f>IF('Données projet'!$A$114&gt;35,BY85+BX86-CG85,IF(A86&lt;'Données projet'!$A$114,$BV$205^A86,IF(A86='Données projet'!$A$114,'Données projet'!$B$114,BY85+BX86-CG85)))</f>
        <v>365.89743589743546</v>
      </c>
      <c r="BZ86" s="14">
        <f>BY86*VLOOKUP('Données projet'!$B$12,Paramètres!$A$1:$I$89,3,0)*VLOOKUP('Données projet'!$B$12,Paramètres!$A$1:$I$89,5,0)</f>
        <v>245.4439999999997</v>
      </c>
      <c r="CA86" s="14">
        <f t="shared" si="93"/>
        <v>59.609300181184771</v>
      </c>
      <c r="CB86" s="22">
        <f t="shared" si="64"/>
        <v>531.30116448222964</v>
      </c>
      <c r="CC86" s="62">
        <f t="shared" si="65"/>
        <v>824.63449781556301</v>
      </c>
      <c r="CD86" s="62">
        <f ca="1">AVERAGE(OFFSET($CC$3,0,0,'Données projet'!$E$12+1,1))-AVERAGE(OFFSET($H$3,0,0,'Données projet'!$E$12+1,1))</f>
        <v>310.47303518828346</v>
      </c>
      <c r="CE86" s="62">
        <f t="shared" si="94"/>
        <v>247.30353382335278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1.7053025658242404E-13</v>
      </c>
      <c r="O87" s="14">
        <f>N87*VLOOKUP('Données projet'!$B$9,Paramètres!$A$1:$I$89,3,0)*VLOOKUP('Données projet'!$B$9,Paramètres!$A$1:$I$89,5,0)</f>
        <v>1.4897523215040567E-13</v>
      </c>
      <c r="P87" s="14">
        <f t="shared" si="87"/>
        <v>2.136562777003313E-12</v>
      </c>
      <c r="Q87" s="22">
        <f t="shared" si="54"/>
        <v>3.9806453659427267E-12</v>
      </c>
      <c r="R87" s="62">
        <f t="shared" si="55"/>
        <v>293.33333333333729</v>
      </c>
      <c r="S87" s="62">
        <f ca="1">AVERAGE(OFFSET($R$3,0,0,'Données projet'!$E$9+1,1))-AVERAGE(OFFSET($H$3,0,0,'Données projet'!$E$9+1,1))</f>
        <v>285.16422150773082</v>
      </c>
      <c r="T87" s="62">
        <f t="shared" si="88"/>
        <v>448.96462312238845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3.8</v>
      </c>
      <c r="AI87" s="14">
        <f>IF('Données projet'!$A$62&gt;35,AI86+AH87-AQ86,IF(A87&lt;'Données projet'!$A$62,$AF$205^A87,IF(A87='Données projet'!$A$62,'Données projet'!$B$62,AI86+AH87-AQ86)))</f>
        <v>335.20000000000005</v>
      </c>
      <c r="AJ87" s="14">
        <f>AI87*VLOOKUP('Données projet'!$B$10,Paramètres!$A$1:$I$89,3,0)*VLOOKUP('Données projet'!$B$10,Paramètres!$A$1:$I$89,5,0)</f>
        <v>303.28896000000003</v>
      </c>
      <c r="AK87" s="14">
        <f t="shared" si="89"/>
        <v>71.865517670261696</v>
      </c>
      <c r="AL87" s="22">
        <f t="shared" si="58"/>
        <v>653.39404860903915</v>
      </c>
      <c r="AM87" s="62">
        <f t="shared" si="59"/>
        <v>946.7273819423724</v>
      </c>
      <c r="AN87" s="62">
        <f ca="1">AVERAGE(OFFSET($AM$3,0,0,'Données projet'!$E$10+1,1))-AVERAGE(OFFSET($H$3,0,0,'Données projet'!$E$10+1,1))</f>
        <v>384.44848355636935</v>
      </c>
      <c r="AO87" s="62">
        <f t="shared" si="90"/>
        <v>203.5274665601915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8.8675733422860506E-14</v>
      </c>
      <c r="BF87" s="14">
        <f t="shared" si="91"/>
        <v>1.3509285393066301E-12</v>
      </c>
      <c r="BG87" s="22">
        <f t="shared" si="61"/>
        <v>2.5073107750038623E-12</v>
      </c>
      <c r="BH87" s="62">
        <f t="shared" si="62"/>
        <v>293.33333333333582</v>
      </c>
      <c r="BI87" s="62">
        <f ca="1">AVERAGE(OFFSET($BH$3,0,0,'Données projet'!$E$11+1,1))-AVERAGE(OFFSET($H$3,0,0,'Données projet'!$E$11+1,1))</f>
        <v>220.70608186257931</v>
      </c>
      <c r="BJ87" s="62">
        <f t="shared" si="92"/>
        <v>208.79744153433245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4.8717948717948731</v>
      </c>
      <c r="BY87" s="13">
        <f>IF('Données projet'!$A$114&gt;35,BY86+BX87-CG86,IF(A87&lt;'Données projet'!$A$114,$BV$205^A87,IF(A87='Données projet'!$A$114,'Données projet'!$B$114,BY86+BX87-CG86)))</f>
        <v>370.76923076923032</v>
      </c>
      <c r="BZ87" s="14">
        <f>BY87*VLOOKUP('Données projet'!$B$12,Paramètres!$A$1:$I$89,3,0)*VLOOKUP('Données projet'!$B$12,Paramètres!$A$1:$I$89,5,0)</f>
        <v>248.7119999999997</v>
      </c>
      <c r="CA87" s="14">
        <f t="shared" si="93"/>
        <v>60.310052179215774</v>
      </c>
      <c r="CB87" s="22">
        <f t="shared" si="64"/>
        <v>538.21340754546691</v>
      </c>
      <c r="CC87" s="62">
        <f t="shared" si="65"/>
        <v>831.54674087880016</v>
      </c>
      <c r="CD87" s="62">
        <f ca="1">AVERAGE(OFFSET($CC$3,0,0,'Données projet'!$E$12+1,1))-AVERAGE(OFFSET($H$3,0,0,'Données projet'!$E$12+1,1))</f>
        <v>310.47303518828346</v>
      </c>
      <c r="CE87" s="62">
        <f t="shared" si="94"/>
        <v>247.30353382335278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1.7053025658242404E-13</v>
      </c>
      <c r="O88" s="14">
        <f>N88*VLOOKUP('Données projet'!$B$9,Paramètres!$A$1:$I$89,3,0)*VLOOKUP('Données projet'!$B$9,Paramètres!$A$1:$I$89,5,0)</f>
        <v>1.4897523215040567E-13</v>
      </c>
      <c r="P88" s="14">
        <f t="shared" si="87"/>
        <v>2.136562777003313E-12</v>
      </c>
      <c r="Q88" s="22">
        <f t="shared" si="54"/>
        <v>3.9806453659427267E-12</v>
      </c>
      <c r="R88" s="62">
        <f t="shared" si="55"/>
        <v>293.33333333333729</v>
      </c>
      <c r="S88" s="62">
        <f ca="1">AVERAGE(OFFSET($R$3,0,0,'Données projet'!$E$9+1,1))-AVERAGE(OFFSET($H$3,0,0,'Données projet'!$E$9+1,1))</f>
        <v>285.16422150773082</v>
      </c>
      <c r="T88" s="62">
        <f t="shared" si="88"/>
        <v>448.96462312238845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3.8</v>
      </c>
      <c r="AI88" s="14">
        <f>IF('Données projet'!$A$62&gt;35,AI87+AH88-AQ87,IF(A88&lt;'Données projet'!$A$62,$AF$205^A88,IF(A88='Données projet'!$A$62,'Données projet'!$B$62,AI87+AH88-AQ87)))</f>
        <v>339.00000000000006</v>
      </c>
      <c r="AJ88" s="14">
        <f>AI88*VLOOKUP('Données projet'!$B$10,Paramètres!$A$1:$I$89,3,0)*VLOOKUP('Données projet'!$B$10,Paramètres!$A$1:$I$89,5,0)</f>
        <v>306.72720000000004</v>
      </c>
      <c r="AK88" s="14">
        <f t="shared" si="89"/>
        <v>72.584917646145641</v>
      </c>
      <c r="AL88" s="22">
        <f t="shared" si="58"/>
        <v>660.63527156703708</v>
      </c>
      <c r="AM88" s="62">
        <f t="shared" si="59"/>
        <v>953.96860490037034</v>
      </c>
      <c r="AN88" s="62">
        <f ca="1">AVERAGE(OFFSET($AM$3,0,0,'Données projet'!$E$10+1,1))-AVERAGE(OFFSET($H$3,0,0,'Données projet'!$E$10+1,1))</f>
        <v>384.44848355636935</v>
      </c>
      <c r="AO88" s="62">
        <f t="shared" si="90"/>
        <v>203.5274665601915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8.8675733422860506E-14</v>
      </c>
      <c r="BF88" s="14">
        <f t="shared" si="91"/>
        <v>1.3509285393066301E-12</v>
      </c>
      <c r="BG88" s="22">
        <f t="shared" si="61"/>
        <v>2.5073107750038623E-12</v>
      </c>
      <c r="BH88" s="62">
        <f t="shared" si="62"/>
        <v>293.33333333333582</v>
      </c>
      <c r="BI88" s="62">
        <f ca="1">AVERAGE(OFFSET($BH$3,0,0,'Données projet'!$E$11+1,1))-AVERAGE(OFFSET($H$3,0,0,'Données projet'!$E$11+1,1))</f>
        <v>220.70608186257931</v>
      </c>
      <c r="BJ88" s="62">
        <f t="shared" si="92"/>
        <v>208.79744153433245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375.64102564102564</v>
      </c>
      <c r="BW88" s="13">
        <f>VLOOKUP(A88,'Données projet'!$A$113:$I$133,9,0)</f>
        <v>4.8717948717948731</v>
      </c>
      <c r="BX88" s="13">
        <f t="array" ref="BX88">INDEX(BW:BW,MIN(IF(ISNUMBER(BW88:BW284),ROW(BW88:BW284),"")))</f>
        <v>4.8717948717948731</v>
      </c>
      <c r="BY88" s="13">
        <f>IF('Données projet'!$A$114&gt;35,BY87+BX88-CG87,IF(A88&lt;'Données projet'!$A$114,$BV$205^A88,IF(A88='Données projet'!$A$114,'Données projet'!$B$114,BY87+BX88-CG87)))</f>
        <v>375.64102564102518</v>
      </c>
      <c r="BZ88" s="14">
        <f>BY88*VLOOKUP('Données projet'!$B$12,Paramètres!$A$1:$I$89,3,0)*VLOOKUP('Données projet'!$B$12,Paramètres!$A$1:$I$89,5,0)</f>
        <v>251.97999999999971</v>
      </c>
      <c r="CA88" s="14">
        <f t="shared" si="93"/>
        <v>61.009733191300036</v>
      </c>
      <c r="CB88" s="22">
        <f t="shared" si="64"/>
        <v>545.12378530818035</v>
      </c>
      <c r="CC88" s="62">
        <f t="shared" si="65"/>
        <v>838.45711864151372</v>
      </c>
      <c r="CD88" s="62">
        <f ca="1">AVERAGE(OFFSET($CC$3,0,0,'Données projet'!$E$12+1,1))-AVERAGE(OFFSET($H$3,0,0,'Données projet'!$E$12+1,1))</f>
        <v>310.47303518828346</v>
      </c>
      <c r="CE88" s="62">
        <f t="shared" si="94"/>
        <v>247.30353382335278</v>
      </c>
      <c r="CF88" s="16">
        <f>IF(ISNA(VLOOKUP(A88,'Données projet'!$A$113:$I$133,3,0)),0,VLOOKUP(A88,'Données projet'!$A$113:$I$133,3,0))</f>
        <v>8</v>
      </c>
      <c r="CG88" s="16">
        <f>IF(ISNA(VLOOKUP(A88,'Données projet'!$A$113:$I$133,4,0)),0,VLOOKUP(A88,'Données projet'!$A$113:$I$133,4,0))</f>
        <v>30.769230769230766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1.7053025658242404E-13</v>
      </c>
      <c r="O89" s="14">
        <f>N89*VLOOKUP('Données projet'!$B$9,Paramètres!$A$1:$I$89,3,0)*VLOOKUP('Données projet'!$B$9,Paramètres!$A$1:$I$89,5,0)</f>
        <v>1.4897523215040567E-13</v>
      </c>
      <c r="P89" s="14">
        <f t="shared" si="87"/>
        <v>2.136562777003313E-12</v>
      </c>
      <c r="Q89" s="22">
        <f t="shared" si="54"/>
        <v>3.9806453659427267E-12</v>
      </c>
      <c r="R89" s="62">
        <f t="shared" si="55"/>
        <v>293.33333333333729</v>
      </c>
      <c r="S89" s="62">
        <f ca="1">AVERAGE(OFFSET($R$3,0,0,'Données projet'!$E$9+1,1))-AVERAGE(OFFSET($H$3,0,0,'Données projet'!$E$9+1,1))</f>
        <v>285.16422150773082</v>
      </c>
      <c r="T89" s="62">
        <f t="shared" si="88"/>
        <v>448.96462312238845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</v>
      </c>
      <c r="AI89" s="14">
        <f>IF('Données projet'!$A$62&gt;35,AI88+AH89-AQ88,IF(A89&lt;'Données projet'!$A$62,$AF$205^A89,IF(A89='Données projet'!$A$62,'Données projet'!$B$62,AI88+AH89-AQ88)))</f>
        <v>342.80000000000007</v>
      </c>
      <c r="AJ89" s="14">
        <f>AI89*VLOOKUP('Données projet'!$B$10,Paramètres!$A$1:$I$89,3,0)*VLOOKUP('Données projet'!$B$10,Paramètres!$A$1:$I$89,5,0)</f>
        <v>310.16544000000005</v>
      </c>
      <c r="AK89" s="14">
        <f t="shared" si="89"/>
        <v>73.303379555549114</v>
      </c>
      <c r="AL89" s="22">
        <f t="shared" si="58"/>
        <v>667.87486072591469</v>
      </c>
      <c r="AM89" s="62">
        <f t="shared" si="59"/>
        <v>961.20819405924794</v>
      </c>
      <c r="AN89" s="62">
        <f ca="1">AVERAGE(OFFSET($AM$3,0,0,'Données projet'!$E$10+1,1))-AVERAGE(OFFSET($H$3,0,0,'Données projet'!$E$10+1,1))</f>
        <v>384.44848355636935</v>
      </c>
      <c r="AO89" s="62">
        <f t="shared" si="90"/>
        <v>203.5274665601915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8.8675733422860506E-14</v>
      </c>
      <c r="BF89" s="14">
        <f t="shared" si="91"/>
        <v>1.3509285393066301E-12</v>
      </c>
      <c r="BG89" s="22">
        <f t="shared" si="61"/>
        <v>2.5073107750038623E-12</v>
      </c>
      <c r="BH89" s="62">
        <f t="shared" si="62"/>
        <v>293.33333333333582</v>
      </c>
      <c r="BI89" s="62">
        <f ca="1">AVERAGE(OFFSET($BH$3,0,0,'Données projet'!$E$11+1,1))-AVERAGE(OFFSET($H$3,0,0,'Données projet'!$E$11+1,1))</f>
        <v>220.70608186257931</v>
      </c>
      <c r="BJ89" s="62">
        <f t="shared" si="92"/>
        <v>208.79744153433245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4.7435897435897463</v>
      </c>
      <c r="BY89" s="13">
        <f>IF('Données projet'!$A$114&gt;35,BY88+BX89-CG88,IF(A89&lt;'Données projet'!$A$114,$BV$205^A89,IF(A89='Données projet'!$A$114,'Données projet'!$B$114,BY88+BX89-CG88)))</f>
        <v>349.61538461538413</v>
      </c>
      <c r="BZ89" s="14">
        <f>BY89*VLOOKUP('Données projet'!$B$12,Paramètres!$A$1:$I$89,3,0)*VLOOKUP('Données projet'!$B$12,Paramètres!$A$1:$I$89,5,0)</f>
        <v>234.52199999999968</v>
      </c>
      <c r="CA89" s="14">
        <f t="shared" si="93"/>
        <v>57.259332940538997</v>
      </c>
      <c r="CB89" s="22">
        <f t="shared" si="64"/>
        <v>508.18582153810485</v>
      </c>
      <c r="CC89" s="62">
        <f t="shared" si="65"/>
        <v>801.5191548714381</v>
      </c>
      <c r="CD89" s="62">
        <f ca="1">AVERAGE(OFFSET($CC$3,0,0,'Données projet'!$E$12+1,1))-AVERAGE(OFFSET($H$3,0,0,'Données projet'!$E$12+1,1))</f>
        <v>310.47303518828346</v>
      </c>
      <c r="CE89" s="62">
        <f t="shared" si="94"/>
        <v>247.30353382335278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1.7053025658242404E-13</v>
      </c>
      <c r="O90" s="14">
        <f>N90*VLOOKUP('Données projet'!$B$9,Paramètres!$A$1:$I$89,3,0)*VLOOKUP('Données projet'!$B$9,Paramètres!$A$1:$I$89,5,0)</f>
        <v>1.4897523215040567E-13</v>
      </c>
      <c r="P90" s="14">
        <f t="shared" si="87"/>
        <v>2.136562777003313E-12</v>
      </c>
      <c r="Q90" s="22">
        <f t="shared" si="54"/>
        <v>3.9806453659427267E-12</v>
      </c>
      <c r="R90" s="62">
        <f t="shared" si="55"/>
        <v>293.33333333333729</v>
      </c>
      <c r="S90" s="62">
        <f ca="1">AVERAGE(OFFSET($R$3,0,0,'Données projet'!$E$9+1,1))-AVERAGE(OFFSET($H$3,0,0,'Données projet'!$E$9+1,1))</f>
        <v>285.16422150773082</v>
      </c>
      <c r="T90" s="62">
        <f t="shared" si="88"/>
        <v>448.96462312238845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</v>
      </c>
      <c r="AI90" s="14">
        <f>IF('Données projet'!$A$62&gt;35,AI89+AH90-AQ89,IF(A90&lt;'Données projet'!$A$62,$AF$205^A90,IF(A90='Données projet'!$A$62,'Données projet'!$B$62,AI89+AH90-AQ89)))</f>
        <v>346.60000000000008</v>
      </c>
      <c r="AJ90" s="14">
        <f>AI90*VLOOKUP('Données projet'!$B$10,Paramètres!$A$1:$I$89,3,0)*VLOOKUP('Données projet'!$B$10,Paramètres!$A$1:$I$89,5,0)</f>
        <v>313.60368000000005</v>
      </c>
      <c r="AK90" s="14">
        <f t="shared" si="89"/>
        <v>74.020915000501219</v>
      </c>
      <c r="AL90" s="22">
        <f t="shared" si="58"/>
        <v>675.11283629253967</v>
      </c>
      <c r="AM90" s="62">
        <f t="shared" si="59"/>
        <v>968.44616962587293</v>
      </c>
      <c r="AN90" s="62">
        <f ca="1">AVERAGE(OFFSET($AM$3,0,0,'Données projet'!$E$10+1,1))-AVERAGE(OFFSET($H$3,0,0,'Données projet'!$E$10+1,1))</f>
        <v>384.44848355636935</v>
      </c>
      <c r="AO90" s="62">
        <f t="shared" si="90"/>
        <v>203.5274665601915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8.8675733422860506E-14</v>
      </c>
      <c r="BF90" s="14">
        <f t="shared" si="91"/>
        <v>1.3509285393066301E-12</v>
      </c>
      <c r="BG90" s="22">
        <f t="shared" si="61"/>
        <v>2.5073107750038623E-12</v>
      </c>
      <c r="BH90" s="62">
        <f t="shared" si="62"/>
        <v>293.33333333333582</v>
      </c>
      <c r="BI90" s="62">
        <f ca="1">AVERAGE(OFFSET($BH$3,0,0,'Données projet'!$E$11+1,1))-AVERAGE(OFFSET($H$3,0,0,'Données projet'!$E$11+1,1))</f>
        <v>220.70608186257931</v>
      </c>
      <c r="BJ90" s="62">
        <f t="shared" si="92"/>
        <v>208.79744153433245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4.7435897435897463</v>
      </c>
      <c r="BY90" s="13">
        <f>IF('Données projet'!$A$114&gt;35,BY89+BX90-CG89,IF(A90&lt;'Données projet'!$A$114,$BV$205^A90,IF(A90='Données projet'!$A$114,'Données projet'!$B$114,BY89+BX90-CG89)))</f>
        <v>354.35897435897385</v>
      </c>
      <c r="BZ90" s="14">
        <f>BY90*VLOOKUP('Données projet'!$B$12,Paramètres!$A$1:$I$89,3,0)*VLOOKUP('Données projet'!$B$12,Paramètres!$A$1:$I$89,5,0)</f>
        <v>237.70399999999967</v>
      </c>
      <c r="CA90" s="14">
        <f t="shared" si="93"/>
        <v>57.945258866462957</v>
      </c>
      <c r="CB90" s="22">
        <f t="shared" si="64"/>
        <v>514.92245919242237</v>
      </c>
      <c r="CC90" s="62">
        <f t="shared" si="65"/>
        <v>808.25579252575562</v>
      </c>
      <c r="CD90" s="62">
        <f ca="1">AVERAGE(OFFSET($CC$3,0,0,'Données projet'!$E$12+1,1))-AVERAGE(OFFSET($H$3,0,0,'Données projet'!$E$12+1,1))</f>
        <v>310.47303518828346</v>
      </c>
      <c r="CE90" s="62">
        <f t="shared" si="94"/>
        <v>247.30353382335278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1.7053025658242404E-13</v>
      </c>
      <c r="O91" s="14">
        <f>N91*VLOOKUP('Données projet'!$B$9,Paramètres!$A$1:$I$89,3,0)*VLOOKUP('Données projet'!$B$9,Paramètres!$A$1:$I$89,5,0)</f>
        <v>1.4897523215040567E-13</v>
      </c>
      <c r="P91" s="14">
        <f t="shared" si="87"/>
        <v>2.136562777003313E-12</v>
      </c>
      <c r="Q91" s="22">
        <f t="shared" si="54"/>
        <v>3.9806453659427267E-12</v>
      </c>
      <c r="R91" s="62">
        <f t="shared" si="55"/>
        <v>293.33333333333729</v>
      </c>
      <c r="S91" s="62">
        <f ca="1">AVERAGE(OFFSET($R$3,0,0,'Données projet'!$E$9+1,1))-AVERAGE(OFFSET($H$3,0,0,'Données projet'!$E$9+1,1))</f>
        <v>285.16422150773082</v>
      </c>
      <c r="T91" s="62">
        <f t="shared" si="88"/>
        <v>448.96462312238845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</v>
      </c>
      <c r="AI91" s="14">
        <f>IF('Données projet'!$A$62&gt;35,AI90+AH91-AQ90,IF(A91&lt;'Données projet'!$A$62,$AF$205^A91,IF(A91='Données projet'!$A$62,'Données projet'!$B$62,AI90+AH91-AQ90)))</f>
        <v>350.40000000000009</v>
      </c>
      <c r="AJ91" s="14">
        <f>AI91*VLOOKUP('Données projet'!$B$10,Paramètres!$A$1:$I$89,3,0)*VLOOKUP('Données projet'!$B$10,Paramètres!$A$1:$I$89,5,0)</f>
        <v>317.04192000000006</v>
      </c>
      <c r="AK91" s="14">
        <f t="shared" si="89"/>
        <v>74.73753531397945</v>
      </c>
      <c r="AL91" s="22">
        <f t="shared" si="58"/>
        <v>682.34921800518089</v>
      </c>
      <c r="AM91" s="62">
        <f t="shared" si="59"/>
        <v>975.68255133851426</v>
      </c>
      <c r="AN91" s="62">
        <f ca="1">AVERAGE(OFFSET($AM$3,0,0,'Données projet'!$E$10+1,1))-AVERAGE(OFFSET($H$3,0,0,'Données projet'!$E$10+1,1))</f>
        <v>384.44848355636935</v>
      </c>
      <c r="AO91" s="62">
        <f t="shared" si="90"/>
        <v>203.5274665601915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8.8675733422860506E-14</v>
      </c>
      <c r="BF91" s="14">
        <f t="shared" si="91"/>
        <v>1.3509285393066301E-12</v>
      </c>
      <c r="BG91" s="22">
        <f t="shared" si="61"/>
        <v>2.5073107750038623E-12</v>
      </c>
      <c r="BH91" s="62">
        <f t="shared" si="62"/>
        <v>293.33333333333582</v>
      </c>
      <c r="BI91" s="62">
        <f ca="1">AVERAGE(OFFSET($BH$3,0,0,'Données projet'!$E$11+1,1))-AVERAGE(OFFSET($H$3,0,0,'Données projet'!$E$11+1,1))</f>
        <v>220.70608186257931</v>
      </c>
      <c r="BJ91" s="62">
        <f t="shared" si="92"/>
        <v>208.79744153433245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4.7435897435897463</v>
      </c>
      <c r="BY91" s="13">
        <f>IF('Données projet'!$A$114&gt;35,BY90+BX91-CG90,IF(A91&lt;'Données projet'!$A$114,$BV$205^A91,IF(A91='Données projet'!$A$114,'Données projet'!$B$114,BY90+BX91-CG90)))</f>
        <v>359.10256410256358</v>
      </c>
      <c r="BZ91" s="14">
        <f>BY91*VLOOKUP('Données projet'!$B$12,Paramètres!$A$1:$I$89,3,0)*VLOOKUP('Données projet'!$B$12,Paramètres!$A$1:$I$89,5,0)</f>
        <v>240.88599999999965</v>
      </c>
      <c r="CA91" s="14">
        <f t="shared" si="93"/>
        <v>58.630116797214335</v>
      </c>
      <c r="CB91" s="22">
        <f t="shared" si="64"/>
        <v>521.65723675514766</v>
      </c>
      <c r="CC91" s="62">
        <f t="shared" si="65"/>
        <v>814.99057008848104</v>
      </c>
      <c r="CD91" s="62">
        <f ca="1">AVERAGE(OFFSET($CC$3,0,0,'Données projet'!$E$12+1,1))-AVERAGE(OFFSET($H$3,0,0,'Données projet'!$E$12+1,1))</f>
        <v>310.47303518828346</v>
      </c>
      <c r="CE91" s="62">
        <f t="shared" si="94"/>
        <v>247.30353382335278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1.7053025658242404E-13</v>
      </c>
      <c r="O92" s="14">
        <f>N92*VLOOKUP('Données projet'!$B$9,Paramètres!$A$1:$I$89,3,0)*VLOOKUP('Données projet'!$B$9,Paramètres!$A$1:$I$89,5,0)</f>
        <v>1.4897523215040567E-13</v>
      </c>
      <c r="P92" s="14">
        <f t="shared" si="87"/>
        <v>2.136562777003313E-12</v>
      </c>
      <c r="Q92" s="22">
        <f t="shared" si="54"/>
        <v>3.9806453659427267E-12</v>
      </c>
      <c r="R92" s="62">
        <f t="shared" si="55"/>
        <v>293.33333333333729</v>
      </c>
      <c r="S92" s="62">
        <f ca="1">AVERAGE(OFFSET($R$3,0,0,'Données projet'!$E$9+1,1))-AVERAGE(OFFSET($H$3,0,0,'Données projet'!$E$9+1,1))</f>
        <v>285.16422150773082</v>
      </c>
      <c r="T92" s="62">
        <f t="shared" si="88"/>
        <v>448.96462312238845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</v>
      </c>
      <c r="AI92" s="14">
        <f>IF('Données projet'!$A$62&gt;35,AI91+AH92-AQ91,IF(A92&lt;'Données projet'!$A$62,$AF$205^A92,IF(A92='Données projet'!$A$62,'Données projet'!$B$62,AI91+AH92-AQ91)))</f>
        <v>354.2000000000001</v>
      </c>
      <c r="AJ92" s="14">
        <f>AI92*VLOOKUP('Données projet'!$B$10,Paramètres!$A$1:$I$89,3,0)*VLOOKUP('Données projet'!$B$10,Paramètres!$A$1:$I$89,5,0)</f>
        <v>320.48016000000007</v>
      </c>
      <c r="AK92" s="14">
        <f t="shared" si="89"/>
        <v>75.453251568997672</v>
      </c>
      <c r="AL92" s="22">
        <f t="shared" si="58"/>
        <v>689.58402514933766</v>
      </c>
      <c r="AM92" s="62">
        <f t="shared" si="59"/>
        <v>982.91735848267103</v>
      </c>
      <c r="AN92" s="62">
        <f ca="1">AVERAGE(OFFSET($AM$3,0,0,'Données projet'!$E$10+1,1))-AVERAGE(OFFSET($H$3,0,0,'Données projet'!$E$10+1,1))</f>
        <v>384.44848355636935</v>
      </c>
      <c r="AO92" s="62">
        <f t="shared" si="90"/>
        <v>203.5274665601915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8.8675733422860506E-14</v>
      </c>
      <c r="BF92" s="14">
        <f t="shared" si="91"/>
        <v>1.3509285393066301E-12</v>
      </c>
      <c r="BG92" s="22">
        <f t="shared" si="61"/>
        <v>2.5073107750038623E-12</v>
      </c>
      <c r="BH92" s="62">
        <f t="shared" si="62"/>
        <v>293.33333333333582</v>
      </c>
      <c r="BI92" s="62">
        <f ca="1">AVERAGE(OFFSET($BH$3,0,0,'Données projet'!$E$11+1,1))-AVERAGE(OFFSET($H$3,0,0,'Données projet'!$E$11+1,1))</f>
        <v>220.70608186257931</v>
      </c>
      <c r="BJ92" s="62">
        <f t="shared" si="92"/>
        <v>208.79744153433245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4.7435897435897463</v>
      </c>
      <c r="BY92" s="13">
        <f>IF('Données projet'!$A$114&gt;35,BY91+BX92-CG91,IF(A92&lt;'Données projet'!$A$114,$BV$205^A92,IF(A92='Données projet'!$A$114,'Données projet'!$B$114,BY91+BX92-CG91)))</f>
        <v>363.8461538461533</v>
      </c>
      <c r="BZ92" s="14">
        <f>BY92*VLOOKUP('Données projet'!$B$12,Paramètres!$A$1:$I$89,3,0)*VLOOKUP('Données projet'!$B$12,Paramètres!$A$1:$I$89,5,0)</f>
        <v>244.06799999999964</v>
      </c>
      <c r="CA92" s="14">
        <f t="shared" si="93"/>
        <v>59.313922471509116</v>
      </c>
      <c r="CB92" s="22">
        <f t="shared" si="64"/>
        <v>528.39018163787762</v>
      </c>
      <c r="CC92" s="62">
        <f t="shared" si="65"/>
        <v>821.72351497121099</v>
      </c>
      <c r="CD92" s="62">
        <f ca="1">AVERAGE(OFFSET($CC$3,0,0,'Données projet'!$E$12+1,1))-AVERAGE(OFFSET($H$3,0,0,'Données projet'!$E$12+1,1))</f>
        <v>310.47303518828346</v>
      </c>
      <c r="CE92" s="62">
        <f t="shared" si="94"/>
        <v>247.30353382335278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1.7053025658242404E-13</v>
      </c>
      <c r="O93" s="14">
        <f>N93*VLOOKUP('Données projet'!$B$9,Paramètres!$A$1:$I$89,3,0)*VLOOKUP('Données projet'!$B$9,Paramètres!$A$1:$I$89,5,0)</f>
        <v>1.4897523215040567E-13</v>
      </c>
      <c r="P93" s="14">
        <f t="shared" si="87"/>
        <v>2.136562777003313E-12</v>
      </c>
      <c r="Q93" s="22">
        <f t="shared" si="54"/>
        <v>3.9806453659427267E-12</v>
      </c>
      <c r="R93" s="62">
        <f t="shared" si="55"/>
        <v>293.33333333333729</v>
      </c>
      <c r="S93" s="62">
        <f ca="1">AVERAGE(OFFSET($R$3,0,0,'Données projet'!$E$9+1,1))-AVERAGE(OFFSET($H$3,0,0,'Données projet'!$E$9+1,1))</f>
        <v>285.16422150773082</v>
      </c>
      <c r="T93" s="62">
        <f t="shared" si="88"/>
        <v>448.96462312238845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358</v>
      </c>
      <c r="AG93" s="13">
        <f>VLOOKUP(A93,'Données projet'!$A$61:$I$81,9,0)</f>
        <v>3.8</v>
      </c>
      <c r="AH93" s="13">
        <f t="array" ref="AH93">INDEX(AG:AG,MIN(IF(ISNUMBER(AG93:AG289),ROW(AG93:AG289),"")))</f>
        <v>3.8</v>
      </c>
      <c r="AI93" s="14">
        <f>IF('Données projet'!$A$62&gt;35,AI92+AH93-AQ92,IF(A93&lt;'Données projet'!$A$62,$AF$205^A93,IF(A93='Données projet'!$A$62,'Données projet'!$B$62,AI92+AH93-AQ92)))</f>
        <v>358.00000000000011</v>
      </c>
      <c r="AJ93" s="14">
        <f>AI93*VLOOKUP('Données projet'!$B$10,Paramètres!$A$1:$I$89,3,0)*VLOOKUP('Données projet'!$B$10,Paramètres!$A$1:$I$89,5,0)</f>
        <v>323.91840000000008</v>
      </c>
      <c r="AK93" s="14">
        <f t="shared" si="89"/>
        <v>76.168074587293091</v>
      </c>
      <c r="AL93" s="22">
        <f t="shared" si="58"/>
        <v>696.81727657286899</v>
      </c>
      <c r="AM93" s="62">
        <f t="shared" si="59"/>
        <v>990.15060990620236</v>
      </c>
      <c r="AN93" s="62">
        <f ca="1">AVERAGE(OFFSET($AM$3,0,0,'Données projet'!$E$10+1,1))-AVERAGE(OFFSET($H$3,0,0,'Données projet'!$E$10+1,1))</f>
        <v>384.44848355636935</v>
      </c>
      <c r="AO93" s="62">
        <f t="shared" si="90"/>
        <v>203.5274665601915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56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8.8675733422860506E-14</v>
      </c>
      <c r="BF93" s="14">
        <f t="shared" si="91"/>
        <v>1.3509285393066301E-12</v>
      </c>
      <c r="BG93" s="22">
        <f t="shared" si="61"/>
        <v>2.5073107750038623E-12</v>
      </c>
      <c r="BH93" s="62">
        <f t="shared" si="62"/>
        <v>293.33333333333582</v>
      </c>
      <c r="BI93" s="62">
        <f ca="1">AVERAGE(OFFSET($BH$3,0,0,'Données projet'!$E$11+1,1))-AVERAGE(OFFSET($H$3,0,0,'Données projet'!$E$11+1,1))</f>
        <v>220.70608186257931</v>
      </c>
      <c r="BJ93" s="62">
        <f t="shared" si="92"/>
        <v>208.79744153433245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368.58974358974359</v>
      </c>
      <c r="BW93" s="13">
        <f>VLOOKUP(A93,'Données projet'!$A$113:$I$133,9,0)</f>
        <v>4.7435897435897463</v>
      </c>
      <c r="BX93" s="13">
        <f t="array" ref="BX93">INDEX(BW:BW,MIN(IF(ISNUMBER(BW93:BW289),ROW(BW93:BW289),"")))</f>
        <v>4.7435897435897463</v>
      </c>
      <c r="BY93" s="13">
        <f>IF('Données projet'!$A$114&gt;35,BY92+BX93-CG92,IF(A93&lt;'Données projet'!$A$114,$BV$205^A93,IF(A93='Données projet'!$A$114,'Données projet'!$B$114,BY92+BX93-CG92)))</f>
        <v>368.58974358974302</v>
      </c>
      <c r="BZ93" s="14">
        <f>BY93*VLOOKUP('Données projet'!$B$12,Paramètres!$A$1:$I$89,3,0)*VLOOKUP('Données projet'!$B$12,Paramètres!$A$1:$I$89,5,0)</f>
        <v>247.24999999999963</v>
      </c>
      <c r="CA93" s="14">
        <f t="shared" si="93"/>
        <v>59.99669119408982</v>
      </c>
      <c r="CB93" s="22">
        <f t="shared" si="64"/>
        <v>535.1213204963725</v>
      </c>
      <c r="CC93" s="62">
        <f t="shared" si="65"/>
        <v>828.45465382970588</v>
      </c>
      <c r="CD93" s="62">
        <f ca="1">AVERAGE(OFFSET($CC$3,0,0,'Données projet'!$E$12+1,1))-AVERAGE(OFFSET($H$3,0,0,'Données projet'!$E$12+1,1))</f>
        <v>310.47303518828346</v>
      </c>
      <c r="CE93" s="62">
        <f t="shared" si="94"/>
        <v>247.30353382335278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1.7053025658242404E-13</v>
      </c>
      <c r="O94" s="14">
        <f>N94*VLOOKUP('Données projet'!$B$9,Paramètres!$A$1:$I$89,3,0)*VLOOKUP('Données projet'!$B$9,Paramètres!$A$1:$I$89,5,0)</f>
        <v>1.4897523215040567E-13</v>
      </c>
      <c r="P94" s="14">
        <f t="shared" si="87"/>
        <v>2.136562777003313E-12</v>
      </c>
      <c r="Q94" s="22">
        <f t="shared" si="54"/>
        <v>3.9806453659427267E-12</v>
      </c>
      <c r="R94" s="62">
        <f t="shared" si="55"/>
        <v>293.33333333333729</v>
      </c>
      <c r="S94" s="62">
        <f ca="1">AVERAGE(OFFSET($R$3,0,0,'Données projet'!$E$9+1,1))-AVERAGE(OFFSET($H$3,0,0,'Données projet'!$E$9+1,1))</f>
        <v>285.16422150773082</v>
      </c>
      <c r="T94" s="62">
        <f t="shared" si="88"/>
        <v>448.96462312238845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5.9</v>
      </c>
      <c r="AI94" s="14">
        <f>IF('Données projet'!$A$62&gt;35,AI93+AH94-AQ93,IF(A94&lt;'Données projet'!$A$62,$AF$205^A94,IF(A94='Données projet'!$A$62,'Données projet'!$B$62,AI93+AH94-AQ93)))</f>
        <v>307.90000000000009</v>
      </c>
      <c r="AJ94" s="14">
        <f>AI94*VLOOKUP('Données projet'!$B$10,Paramètres!$A$1:$I$89,3,0)*VLOOKUP('Données projet'!$B$10,Paramètres!$A$1:$I$89,5,0)</f>
        <v>278.58792000000011</v>
      </c>
      <c r="AK94" s="14">
        <f t="shared" si="89"/>
        <v>66.668508032294213</v>
      </c>
      <c r="AL94" s="22">
        <f t="shared" si="58"/>
        <v>601.32161215624581</v>
      </c>
      <c r="AM94" s="62">
        <f t="shared" si="59"/>
        <v>894.65494548957918</v>
      </c>
      <c r="AN94" s="62">
        <f ca="1">AVERAGE(OFFSET($AM$3,0,0,'Données projet'!$E$10+1,1))-AVERAGE(OFFSET($H$3,0,0,'Données projet'!$E$10+1,1))</f>
        <v>384.44848355636935</v>
      </c>
      <c r="AO94" s="62">
        <f t="shared" si="90"/>
        <v>203.5274665601915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8.8675733422860506E-14</v>
      </c>
      <c r="BF94" s="14">
        <f t="shared" si="91"/>
        <v>1.3509285393066301E-12</v>
      </c>
      <c r="BG94" s="22">
        <f t="shared" si="61"/>
        <v>2.5073107750038623E-12</v>
      </c>
      <c r="BH94" s="62">
        <f t="shared" si="62"/>
        <v>293.33333333333582</v>
      </c>
      <c r="BI94" s="62">
        <f ca="1">AVERAGE(OFFSET($BH$3,0,0,'Données projet'!$E$11+1,1))-AVERAGE(OFFSET($H$3,0,0,'Données projet'!$E$11+1,1))</f>
        <v>220.70608186257931</v>
      </c>
      <c r="BJ94" s="62">
        <f t="shared" si="92"/>
        <v>208.79744153433245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4.4871794871794801</v>
      </c>
      <c r="BY94" s="13">
        <f>IF('Données projet'!$A$114&gt;35,BY93+BX94-CG93,IF(A94&lt;'Données projet'!$A$114,$BV$205^A94,IF(A94='Données projet'!$A$114,'Données projet'!$B$114,BY93+BX94-CG93)))</f>
        <v>373.07692307692253</v>
      </c>
      <c r="BZ94" s="14">
        <f>BY94*VLOOKUP('Données projet'!$B$12,Paramètres!$A$1:$I$89,3,0)*VLOOKUP('Données projet'!$B$12,Paramètres!$A$1:$I$89,5,0)</f>
        <v>250.25999999999962</v>
      </c>
      <c r="CA94" s="14">
        <f t="shared" si="93"/>
        <v>60.641612570577124</v>
      </c>
      <c r="CB94" s="22">
        <f t="shared" si="64"/>
        <v>541.48697522708778</v>
      </c>
      <c r="CC94" s="62">
        <f t="shared" si="65"/>
        <v>834.82030856042115</v>
      </c>
      <c r="CD94" s="62">
        <f ca="1">AVERAGE(OFFSET($CC$3,0,0,'Données projet'!$E$12+1,1))-AVERAGE(OFFSET($H$3,0,0,'Données projet'!$E$12+1,1))</f>
        <v>310.47303518828346</v>
      </c>
      <c r="CE94" s="62">
        <f t="shared" si="94"/>
        <v>247.30353382335278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1.7053025658242404E-13</v>
      </c>
      <c r="O95" s="14">
        <f>N95*VLOOKUP('Données projet'!$B$9,Paramètres!$A$1:$I$89,3,0)*VLOOKUP('Données projet'!$B$9,Paramètres!$A$1:$I$89,5,0)</f>
        <v>1.4897523215040567E-13</v>
      </c>
      <c r="P95" s="14">
        <f t="shared" si="87"/>
        <v>2.136562777003313E-12</v>
      </c>
      <c r="Q95" s="22">
        <f t="shared" si="54"/>
        <v>3.9806453659427267E-12</v>
      </c>
      <c r="R95" s="62">
        <f t="shared" si="55"/>
        <v>293.33333333333729</v>
      </c>
      <c r="S95" s="62">
        <f ca="1">AVERAGE(OFFSET($R$3,0,0,'Données projet'!$E$9+1,1))-AVERAGE(OFFSET($H$3,0,0,'Données projet'!$E$9+1,1))</f>
        <v>285.16422150773082</v>
      </c>
      <c r="T95" s="62">
        <f t="shared" si="88"/>
        <v>448.96462312238845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5.9</v>
      </c>
      <c r="AI95" s="14">
        <f>IF('Données projet'!$A$62&gt;35,AI94+AH95-AQ94,IF(A95&lt;'Données projet'!$A$62,$AF$205^A95,IF(A95='Données projet'!$A$62,'Données projet'!$B$62,AI94+AH95-AQ94)))</f>
        <v>313.80000000000007</v>
      </c>
      <c r="AJ95" s="14">
        <f>AI95*VLOOKUP('Données projet'!$B$10,Paramètres!$A$1:$I$89,3,0)*VLOOKUP('Données projet'!$B$10,Paramètres!$A$1:$I$89,5,0)</f>
        <v>283.92624000000006</v>
      </c>
      <c r="AK95" s="14">
        <f t="shared" si="89"/>
        <v>67.796062628528361</v>
      </c>
      <c r="AL95" s="22">
        <f t="shared" si="58"/>
        <v>612.58301041135371</v>
      </c>
      <c r="AM95" s="62">
        <f t="shared" si="59"/>
        <v>905.91634374468708</v>
      </c>
      <c r="AN95" s="62">
        <f ca="1">AVERAGE(OFFSET($AM$3,0,0,'Données projet'!$E$10+1,1))-AVERAGE(OFFSET($H$3,0,0,'Données projet'!$E$10+1,1))</f>
        <v>384.44848355636935</v>
      </c>
      <c r="AO95" s="62">
        <f t="shared" si="90"/>
        <v>203.5274665601915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8.8675733422860506E-14</v>
      </c>
      <c r="BF95" s="14">
        <f t="shared" si="91"/>
        <v>1.3509285393066301E-12</v>
      </c>
      <c r="BG95" s="22">
        <f t="shared" si="61"/>
        <v>2.5073107750038623E-12</v>
      </c>
      <c r="BH95" s="62">
        <f t="shared" si="62"/>
        <v>293.33333333333582</v>
      </c>
      <c r="BI95" s="62">
        <f ca="1">AVERAGE(OFFSET($BH$3,0,0,'Données projet'!$E$11+1,1))-AVERAGE(OFFSET($H$3,0,0,'Données projet'!$E$11+1,1))</f>
        <v>220.70608186257931</v>
      </c>
      <c r="BJ95" s="62">
        <f t="shared" si="92"/>
        <v>208.79744153433245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4.4871794871794801</v>
      </c>
      <c r="BY95" s="13">
        <f>IF('Données projet'!$A$114&gt;35,BY94+BX95-CG94,IF(A95&lt;'Données projet'!$A$114,$BV$205^A95,IF(A95='Données projet'!$A$114,'Données projet'!$B$114,BY94+BX95-CG94)))</f>
        <v>377.56410256410203</v>
      </c>
      <c r="BZ95" s="14">
        <f>BY95*VLOOKUP('Données projet'!$B$12,Paramètres!$A$1:$I$89,3,0)*VLOOKUP('Données projet'!$B$12,Paramètres!$A$1:$I$89,5,0)</f>
        <v>253.26999999999964</v>
      </c>
      <c r="CA95" s="14">
        <f t="shared" si="93"/>
        <v>61.285631665860663</v>
      </c>
      <c r="CB95" s="22">
        <f t="shared" si="64"/>
        <v>547.85105848470664</v>
      </c>
      <c r="CC95" s="62">
        <f t="shared" si="65"/>
        <v>841.18439181804001</v>
      </c>
      <c r="CD95" s="62">
        <f ca="1">AVERAGE(OFFSET($CC$3,0,0,'Données projet'!$E$12+1,1))-AVERAGE(OFFSET($H$3,0,0,'Données projet'!$E$12+1,1))</f>
        <v>310.47303518828346</v>
      </c>
      <c r="CE95" s="62">
        <f t="shared" si="94"/>
        <v>247.30353382335278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1.7053025658242404E-13</v>
      </c>
      <c r="O96" s="14">
        <f>N96*VLOOKUP('Données projet'!$B$9,Paramètres!$A$1:$I$89,3,0)*VLOOKUP('Données projet'!$B$9,Paramètres!$A$1:$I$89,5,0)</f>
        <v>1.4897523215040567E-13</v>
      </c>
      <c r="P96" s="14">
        <f t="shared" si="87"/>
        <v>2.136562777003313E-12</v>
      </c>
      <c r="Q96" s="22">
        <f t="shared" si="54"/>
        <v>3.9806453659427267E-12</v>
      </c>
      <c r="R96" s="62">
        <f t="shared" si="55"/>
        <v>293.33333333333729</v>
      </c>
      <c r="S96" s="62">
        <f ca="1">AVERAGE(OFFSET($R$3,0,0,'Données projet'!$E$9+1,1))-AVERAGE(OFFSET($H$3,0,0,'Données projet'!$E$9+1,1))</f>
        <v>285.16422150773082</v>
      </c>
      <c r="T96" s="62">
        <f t="shared" si="88"/>
        <v>448.96462312238845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5.9</v>
      </c>
      <c r="AI96" s="14">
        <f>IF('Données projet'!$A$62&gt;35,AI95+AH96-AQ95,IF(A96&lt;'Données projet'!$A$62,$AF$205^A96,IF(A96='Données projet'!$A$62,'Données projet'!$B$62,AI95+AH96-AQ95)))</f>
        <v>319.70000000000005</v>
      </c>
      <c r="AJ96" s="14">
        <f>AI96*VLOOKUP('Données projet'!$B$10,Paramètres!$A$1:$I$89,3,0)*VLOOKUP('Données projet'!$B$10,Paramètres!$A$1:$I$89,5,0)</f>
        <v>289.26456000000002</v>
      </c>
      <c r="AK96" s="14">
        <f t="shared" si="89"/>
        <v>68.921152085057912</v>
      </c>
      <c r="AL96" s="22">
        <f t="shared" si="58"/>
        <v>623.84011521480932</v>
      </c>
      <c r="AM96" s="62">
        <f t="shared" si="59"/>
        <v>917.17344854814269</v>
      </c>
      <c r="AN96" s="62">
        <f ca="1">AVERAGE(OFFSET($AM$3,0,0,'Données projet'!$E$10+1,1))-AVERAGE(OFFSET($H$3,0,0,'Données projet'!$E$10+1,1))</f>
        <v>384.44848355636935</v>
      </c>
      <c r="AO96" s="62">
        <f t="shared" si="90"/>
        <v>203.5274665601915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8.8675733422860506E-14</v>
      </c>
      <c r="BF96" s="14">
        <f t="shared" si="91"/>
        <v>1.3509285393066301E-12</v>
      </c>
      <c r="BG96" s="22">
        <f t="shared" si="61"/>
        <v>2.5073107750038623E-12</v>
      </c>
      <c r="BH96" s="62">
        <f t="shared" si="62"/>
        <v>293.33333333333582</v>
      </c>
      <c r="BI96" s="62">
        <f ca="1">AVERAGE(OFFSET($BH$3,0,0,'Données projet'!$E$11+1,1))-AVERAGE(OFFSET($H$3,0,0,'Données projet'!$E$11+1,1))</f>
        <v>220.70608186257931</v>
      </c>
      <c r="BJ96" s="62">
        <f t="shared" si="92"/>
        <v>208.79744153433245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4.4871794871794801</v>
      </c>
      <c r="BY96" s="13">
        <f>IF('Données projet'!$A$114&gt;35,BY95+BX96-CG95,IF(A96&lt;'Données projet'!$A$114,$BV$205^A96,IF(A96='Données projet'!$A$114,'Données projet'!$B$114,BY95+BX96-CG95)))</f>
        <v>382.05128205128153</v>
      </c>
      <c r="BZ96" s="14">
        <f>BY96*VLOOKUP('Données projet'!$B$12,Paramètres!$A$1:$I$89,3,0)*VLOOKUP('Données projet'!$B$12,Paramètres!$A$1:$I$89,5,0)</f>
        <v>256.27999999999963</v>
      </c>
      <c r="CA96" s="14">
        <f t="shared" si="93"/>
        <v>61.928760443617371</v>
      </c>
      <c r="CB96" s="22">
        <f t="shared" si="64"/>
        <v>554.2135911059662</v>
      </c>
      <c r="CC96" s="62">
        <f t="shared" si="65"/>
        <v>847.54692443929957</v>
      </c>
      <c r="CD96" s="62">
        <f ca="1">AVERAGE(OFFSET($CC$3,0,0,'Données projet'!$E$12+1,1))-AVERAGE(OFFSET($H$3,0,0,'Données projet'!$E$12+1,1))</f>
        <v>310.47303518828346</v>
      </c>
      <c r="CE96" s="62">
        <f t="shared" si="94"/>
        <v>247.30353382335278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1.7053025658242404E-13</v>
      </c>
      <c r="O97" s="14">
        <f>N97*VLOOKUP('Données projet'!$B$9,Paramètres!$A$1:$I$89,3,0)*VLOOKUP('Données projet'!$B$9,Paramètres!$A$1:$I$89,5,0)</f>
        <v>1.4897523215040567E-13</v>
      </c>
      <c r="P97" s="14">
        <f t="shared" si="87"/>
        <v>2.136562777003313E-12</v>
      </c>
      <c r="Q97" s="22">
        <f t="shared" si="54"/>
        <v>3.9806453659427267E-12</v>
      </c>
      <c r="R97" s="62">
        <f t="shared" si="55"/>
        <v>293.33333333333729</v>
      </c>
      <c r="S97" s="62">
        <f ca="1">AVERAGE(OFFSET($R$3,0,0,'Données projet'!$E$9+1,1))-AVERAGE(OFFSET($H$3,0,0,'Données projet'!$E$9+1,1))</f>
        <v>285.16422150773082</v>
      </c>
      <c r="T97" s="62">
        <f t="shared" si="88"/>
        <v>448.96462312238845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5.9</v>
      </c>
      <c r="AI97" s="14">
        <f>IF('Données projet'!$A$62&gt;35,AI96+AH97-AQ96,IF(A97&lt;'Données projet'!$A$62,$AF$205^A97,IF(A97='Données projet'!$A$62,'Données projet'!$B$62,AI96+AH97-AQ96)))</f>
        <v>325.60000000000002</v>
      </c>
      <c r="AJ97" s="14">
        <f>AI97*VLOOKUP('Données projet'!$B$10,Paramètres!$A$1:$I$89,3,0)*VLOOKUP('Données projet'!$B$10,Paramètres!$A$1:$I$89,5,0)</f>
        <v>294.60288000000003</v>
      </c>
      <c r="AK97" s="14">
        <f t="shared" si="89"/>
        <v>70.043827142305744</v>
      </c>
      <c r="AL97" s="22">
        <f t="shared" si="58"/>
        <v>635.09301493951591</v>
      </c>
      <c r="AM97" s="62">
        <f t="shared" si="59"/>
        <v>928.42634827284928</v>
      </c>
      <c r="AN97" s="62">
        <f ca="1">AVERAGE(OFFSET($AM$3,0,0,'Données projet'!$E$10+1,1))-AVERAGE(OFFSET($H$3,0,0,'Données projet'!$E$10+1,1))</f>
        <v>384.44848355636935</v>
      </c>
      <c r="AO97" s="62">
        <f t="shared" si="90"/>
        <v>203.5274665601915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8.8675733422860506E-14</v>
      </c>
      <c r="BF97" s="14">
        <f t="shared" si="91"/>
        <v>1.3509285393066301E-12</v>
      </c>
      <c r="BG97" s="22">
        <f t="shared" si="61"/>
        <v>2.5073107750038623E-12</v>
      </c>
      <c r="BH97" s="62">
        <f t="shared" si="62"/>
        <v>293.33333333333582</v>
      </c>
      <c r="BI97" s="62">
        <f ca="1">AVERAGE(OFFSET($BH$3,0,0,'Données projet'!$E$11+1,1))-AVERAGE(OFFSET($H$3,0,0,'Données projet'!$E$11+1,1))</f>
        <v>220.70608186257931</v>
      </c>
      <c r="BJ97" s="62">
        <f t="shared" si="92"/>
        <v>208.79744153433245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4.4871794871794801</v>
      </c>
      <c r="BY97" s="13">
        <f>IF('Données projet'!$A$114&gt;35,BY96+BX97-CG96,IF(A97&lt;'Données projet'!$A$114,$BV$205^A97,IF(A97='Données projet'!$A$114,'Données projet'!$B$114,BY96+BX97-CG96)))</f>
        <v>386.53846153846104</v>
      </c>
      <c r="BZ97" s="14">
        <f>BY97*VLOOKUP('Données projet'!$B$12,Paramètres!$A$1:$I$89,3,0)*VLOOKUP('Données projet'!$B$12,Paramètres!$A$1:$I$89,5,0)</f>
        <v>259.28999999999968</v>
      </c>
      <c r="CA97" s="14">
        <f t="shared" si="93"/>
        <v>62.571010570325562</v>
      </c>
      <c r="CB97" s="22">
        <f t="shared" si="64"/>
        <v>560.57459340998309</v>
      </c>
      <c r="CC97" s="62">
        <f t="shared" si="65"/>
        <v>853.90792674331647</v>
      </c>
      <c r="CD97" s="62">
        <f ca="1">AVERAGE(OFFSET($CC$3,0,0,'Données projet'!$E$12+1,1))-AVERAGE(OFFSET($H$3,0,0,'Données projet'!$E$12+1,1))</f>
        <v>310.47303518828346</v>
      </c>
      <c r="CE97" s="62">
        <f t="shared" si="94"/>
        <v>247.30353382335278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1.7053025658242404E-13</v>
      </c>
      <c r="O98" s="14">
        <f>N98*VLOOKUP('Données projet'!$B$9,Paramètres!$A$1:$I$89,3,0)*VLOOKUP('Données projet'!$B$9,Paramètres!$A$1:$I$89,5,0)</f>
        <v>1.4897523215040567E-13</v>
      </c>
      <c r="P98" s="14">
        <f t="shared" si="87"/>
        <v>2.136562777003313E-12</v>
      </c>
      <c r="Q98" s="22">
        <f t="shared" si="54"/>
        <v>3.9806453659427267E-12</v>
      </c>
      <c r="R98" s="62">
        <f t="shared" si="55"/>
        <v>293.33333333333729</v>
      </c>
      <c r="S98" s="62">
        <f ca="1">AVERAGE(OFFSET($R$3,0,0,'Données projet'!$E$9+1,1))-AVERAGE(OFFSET($H$3,0,0,'Données projet'!$E$9+1,1))</f>
        <v>285.16422150773082</v>
      </c>
      <c r="T98" s="62">
        <f t="shared" si="88"/>
        <v>448.96462312238845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5.9</v>
      </c>
      <c r="AI98" s="14">
        <f>IF('Données projet'!$A$62&gt;35,AI97+AH98-AQ97,IF(A98&lt;'Données projet'!$A$62,$AF$205^A98,IF(A98='Données projet'!$A$62,'Données projet'!$B$62,AI97+AH98-AQ97)))</f>
        <v>331.5</v>
      </c>
      <c r="AJ98" s="14">
        <f>AI98*VLOOKUP('Données projet'!$B$10,Paramètres!$A$1:$I$89,3,0)*VLOOKUP('Données projet'!$B$10,Paramètres!$A$1:$I$89,5,0)</f>
        <v>299.94119999999998</v>
      </c>
      <c r="AK98" s="14">
        <f t="shared" si="89"/>
        <v>71.164136596531506</v>
      </c>
      <c r="AL98" s="22">
        <f t="shared" si="58"/>
        <v>646.34179457229243</v>
      </c>
      <c r="AM98" s="62">
        <f t="shared" si="59"/>
        <v>939.67512790562569</v>
      </c>
      <c r="AN98" s="62">
        <f ca="1">AVERAGE(OFFSET($AM$3,0,0,'Données projet'!$E$10+1,1))-AVERAGE(OFFSET($H$3,0,0,'Données projet'!$E$10+1,1))</f>
        <v>384.44848355636935</v>
      </c>
      <c r="AO98" s="62">
        <f t="shared" si="90"/>
        <v>203.5274665601915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8.8675733422860506E-14</v>
      </c>
      <c r="BF98" s="14">
        <f t="shared" si="91"/>
        <v>1.3509285393066301E-12</v>
      </c>
      <c r="BG98" s="22">
        <f t="shared" si="61"/>
        <v>2.5073107750038623E-12</v>
      </c>
      <c r="BH98" s="62">
        <f t="shared" si="62"/>
        <v>293.33333333333582</v>
      </c>
      <c r="BI98" s="62">
        <f ca="1">AVERAGE(OFFSET($BH$3,0,0,'Données projet'!$E$11+1,1))-AVERAGE(OFFSET($H$3,0,0,'Données projet'!$E$11+1,1))</f>
        <v>220.70608186257931</v>
      </c>
      <c r="BJ98" s="62">
        <f t="shared" si="92"/>
        <v>208.79744153433245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391.02564102564099</v>
      </c>
      <c r="BW98" s="13">
        <f>VLOOKUP(A98,'Données projet'!$A$113:$I$133,9,0)</f>
        <v>4.4871794871794801</v>
      </c>
      <c r="BX98" s="13">
        <f t="array" ref="BX98">INDEX(BW:BW,MIN(IF(ISNUMBER(BW98:BW294),ROW(BW98:BW294),"")))</f>
        <v>4.4871794871794801</v>
      </c>
      <c r="BY98" s="13">
        <f>IF('Données projet'!$A$114&gt;35,BY97+BX98-CG97,IF(A98&lt;'Données projet'!$A$114,$BV$205^A98,IF(A98='Données projet'!$A$114,'Données projet'!$B$114,BY97+BX98-CG97)))</f>
        <v>391.02564102564054</v>
      </c>
      <c r="BZ98" s="14">
        <f>BY98*VLOOKUP('Données projet'!$B$12,Paramètres!$A$1:$I$89,3,0)*VLOOKUP('Données projet'!$B$12,Paramètres!$A$1:$I$89,5,0)</f>
        <v>262.29999999999967</v>
      </c>
      <c r="CA98" s="14">
        <f t="shared" si="93"/>
        <v>63.212393426010095</v>
      </c>
      <c r="CB98" s="22">
        <f t="shared" si="64"/>
        <v>566.93408521696699</v>
      </c>
      <c r="CC98" s="62">
        <f t="shared" si="65"/>
        <v>860.26741855030036</v>
      </c>
      <c r="CD98" s="62">
        <f ca="1">AVERAGE(OFFSET($CC$3,0,0,'Données projet'!$E$12+1,1))-AVERAGE(OFFSET($H$3,0,0,'Données projet'!$E$12+1,1))</f>
        <v>310.47303518828346</v>
      </c>
      <c r="CE98" s="62">
        <f t="shared" si="94"/>
        <v>247.30353382335278</v>
      </c>
      <c r="CF98" s="16">
        <f>IF(ISNA(VLOOKUP(A98,'Données projet'!$A$113:$I$133,3,0)),0,VLOOKUP(A98,'Données projet'!$A$113:$I$133,3,0))</f>
        <v>9</v>
      </c>
      <c r="CG98" s="16">
        <f>IF(ISNA(VLOOKUP(A98,'Données projet'!$A$113:$I$133,4,0)),0,VLOOKUP(A98,'Données projet'!$A$113:$I$133,4,0))</f>
        <v>28.846153846153847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1.7053025658242404E-13</v>
      </c>
      <c r="O99" s="14">
        <f>N99*VLOOKUP('Données projet'!$B$9,Paramètres!$A$1:$I$89,3,0)*VLOOKUP('Données projet'!$B$9,Paramètres!$A$1:$I$89,5,0)</f>
        <v>1.4897523215040567E-13</v>
      </c>
      <c r="P99" s="14">
        <f t="shared" si="87"/>
        <v>2.136562777003313E-12</v>
      </c>
      <c r="Q99" s="22">
        <f t="shared" ref="Q99:Q130" si="107">(O99+P99)*0.475*44/12</f>
        <v>3.9806453659427267E-12</v>
      </c>
      <c r="R99" s="62">
        <f t="shared" si="55"/>
        <v>293.33333333333729</v>
      </c>
      <c r="S99" s="62">
        <f ca="1">AVERAGE(OFFSET($R$3,0,0,'Données projet'!$E$9+1,1))-AVERAGE(OFFSET($H$3,0,0,'Données projet'!$E$9+1,1))</f>
        <v>285.16422150773082</v>
      </c>
      <c r="T99" s="62">
        <f t="shared" si="88"/>
        <v>448.96462312238845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5.9</v>
      </c>
      <c r="AI99" s="14">
        <f>IF('Données projet'!$A$62&gt;35,AI98+AH99-AQ98,IF(A99&lt;'Données projet'!$A$62,$AF$205^A99,IF(A99='Données projet'!$A$62,'Données projet'!$B$62,AI98+AH99-AQ98)))</f>
        <v>337.4</v>
      </c>
      <c r="AJ99" s="14">
        <f>AI99*VLOOKUP('Données projet'!$B$10,Paramètres!$A$1:$I$89,3,0)*VLOOKUP('Données projet'!$B$10,Paramètres!$A$1:$I$89,5,0)</f>
        <v>305.27951999999999</v>
      </c>
      <c r="AK99" s="14">
        <f t="shared" si="89"/>
        <v>72.282127407576809</v>
      </c>
      <c r="AL99" s="22">
        <f t="shared" si="58"/>
        <v>657.5865359015296</v>
      </c>
      <c r="AM99" s="62">
        <f t="shared" si="59"/>
        <v>950.91986923486297</v>
      </c>
      <c r="AN99" s="62">
        <f ca="1">AVERAGE(OFFSET($AM$3,0,0,'Données projet'!$E$10+1,1))-AVERAGE(OFFSET($H$3,0,0,'Données projet'!$E$10+1,1))</f>
        <v>384.44848355636935</v>
      </c>
      <c r="AO99" s="62">
        <f t="shared" si="90"/>
        <v>203.5274665601915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8.8675733422860506E-14</v>
      </c>
      <c r="BF99" s="14">
        <f t="shared" si="91"/>
        <v>1.3509285393066301E-12</v>
      </c>
      <c r="BG99" s="22">
        <f t="shared" si="61"/>
        <v>2.5073107750038623E-12</v>
      </c>
      <c r="BH99" s="62">
        <f t="shared" si="62"/>
        <v>293.33333333333582</v>
      </c>
      <c r="BI99" s="62">
        <f ca="1">AVERAGE(OFFSET($BH$3,0,0,'Données projet'!$E$11+1,1))-AVERAGE(OFFSET($H$3,0,0,'Données projet'!$E$11+1,1))</f>
        <v>220.70608186257931</v>
      </c>
      <c r="BJ99" s="62">
        <f t="shared" si="92"/>
        <v>208.79744153433245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4.3589743589743648</v>
      </c>
      <c r="BY99" s="13">
        <f>IF('Données projet'!$A$114&gt;35,BY98+BX99-CG98,IF(A99&lt;'Données projet'!$A$114,$BV$205^A99,IF(A99='Données projet'!$A$114,'Données projet'!$B$114,BY98+BX99-CG98)))</f>
        <v>366.53846153846104</v>
      </c>
      <c r="BZ99" s="14">
        <f>BY99*VLOOKUP('Données projet'!$B$12,Paramètres!$A$1:$I$89,3,0)*VLOOKUP('Données projet'!$B$12,Paramètres!$A$1:$I$89,5,0)</f>
        <v>245.87399999999965</v>
      </c>
      <c r="CA99" s="14">
        <f t="shared" si="93"/>
        <v>59.701566142488083</v>
      </c>
      <c r="CB99" s="22">
        <f t="shared" si="64"/>
        <v>532.21077769816611</v>
      </c>
      <c r="CC99" s="62">
        <f t="shared" si="65"/>
        <v>825.54411103149937</v>
      </c>
      <c r="CD99" s="62">
        <f ca="1">AVERAGE(OFFSET($CC$3,0,0,'Données projet'!$E$12+1,1))-AVERAGE(OFFSET($H$3,0,0,'Données projet'!$E$12+1,1))</f>
        <v>310.47303518828346</v>
      </c>
      <c r="CE99" s="62">
        <f t="shared" si="94"/>
        <v>247.30353382335278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1.7053025658242404E-13</v>
      </c>
      <c r="O100" s="14">
        <f>N100*VLOOKUP('Données projet'!$B$9,Paramètres!$A$1:$I$89,3,0)*VLOOKUP('Données projet'!$B$9,Paramètres!$A$1:$I$89,5,0)</f>
        <v>1.4897523215040567E-13</v>
      </c>
      <c r="P100" s="14">
        <f t="shared" si="87"/>
        <v>2.136562777003313E-12</v>
      </c>
      <c r="Q100" s="22">
        <f t="shared" si="107"/>
        <v>3.9806453659427267E-12</v>
      </c>
      <c r="R100" s="62">
        <f t="shared" si="55"/>
        <v>293.33333333333729</v>
      </c>
      <c r="S100" s="62">
        <f ca="1">AVERAGE(OFFSET($R$3,0,0,'Données projet'!$E$9+1,1))-AVERAGE(OFFSET($H$3,0,0,'Données projet'!$E$9+1,1))</f>
        <v>285.16422150773082</v>
      </c>
      <c r="T100" s="62">
        <f t="shared" si="88"/>
        <v>448.96462312238845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5.9</v>
      </c>
      <c r="AI100" s="14">
        <f>IF('Données projet'!$A$62&gt;35,AI99+AH100-AQ99,IF(A100&lt;'Données projet'!$A$62,$AF$205^A100,IF(A100='Données projet'!$A$62,'Données projet'!$B$62,AI99+AH100-AQ99)))</f>
        <v>343.29999999999995</v>
      </c>
      <c r="AJ100" s="14">
        <f>AI100*VLOOKUP('Données projet'!$B$10,Paramètres!$A$1:$I$89,3,0)*VLOOKUP('Données projet'!$B$10,Paramètres!$A$1:$I$89,5,0)</f>
        <v>310.61783999999994</v>
      </c>
      <c r="AK100" s="14">
        <f t="shared" si="89"/>
        <v>73.397844798859666</v>
      </c>
      <c r="AL100" s="22">
        <f t="shared" si="58"/>
        <v>668.82731769134716</v>
      </c>
      <c r="AM100" s="62">
        <f t="shared" si="59"/>
        <v>962.16065102468042</v>
      </c>
      <c r="AN100" s="62">
        <f ca="1">AVERAGE(OFFSET($AM$3,0,0,'Données projet'!$E$10+1,1))-AVERAGE(OFFSET($H$3,0,0,'Données projet'!$E$10+1,1))</f>
        <v>384.44848355636935</v>
      </c>
      <c r="AO100" s="62">
        <f t="shared" si="90"/>
        <v>203.5274665601915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8.8675733422860506E-14</v>
      </c>
      <c r="BF100" s="14">
        <f t="shared" si="91"/>
        <v>1.3509285393066301E-12</v>
      </c>
      <c r="BG100" s="22">
        <f t="shared" si="61"/>
        <v>2.5073107750038623E-12</v>
      </c>
      <c r="BH100" s="62">
        <f t="shared" si="62"/>
        <v>293.33333333333582</v>
      </c>
      <c r="BI100" s="62">
        <f ca="1">AVERAGE(OFFSET($BH$3,0,0,'Données projet'!$E$11+1,1))-AVERAGE(OFFSET($H$3,0,0,'Données projet'!$E$11+1,1))</f>
        <v>220.70608186257931</v>
      </c>
      <c r="BJ100" s="62">
        <f t="shared" si="92"/>
        <v>208.79744153433245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4.3589743589743648</v>
      </c>
      <c r="BY100" s="13">
        <f>IF('Données projet'!$A$114&gt;35,BY99+BX100-CG99,IF(A100&lt;'Données projet'!$A$114,$BV$205^A100,IF(A100='Données projet'!$A$114,'Données projet'!$B$114,BY99+BX100-CG99)))</f>
        <v>370.8974358974354</v>
      </c>
      <c r="BZ100" s="14">
        <f>BY100*VLOOKUP('Données projet'!$B$12,Paramètres!$A$1:$I$89,3,0)*VLOOKUP('Données projet'!$B$12,Paramètres!$A$1:$I$89,5,0)</f>
        <v>248.79799999999966</v>
      </c>
      <c r="CA100" s="14">
        <f t="shared" si="93"/>
        <v>60.328478489662025</v>
      </c>
      <c r="CB100" s="22">
        <f t="shared" si="64"/>
        <v>538.395283369494</v>
      </c>
      <c r="CC100" s="62">
        <f t="shared" si="65"/>
        <v>831.72861670282737</v>
      </c>
      <c r="CD100" s="62">
        <f ca="1">AVERAGE(OFFSET($CC$3,0,0,'Données projet'!$E$12+1,1))-AVERAGE(OFFSET($H$3,0,0,'Données projet'!$E$12+1,1))</f>
        <v>310.47303518828346</v>
      </c>
      <c r="CE100" s="62">
        <f t="shared" si="94"/>
        <v>247.30353382335278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1.7053025658242404E-13</v>
      </c>
      <c r="O101" s="14">
        <f>N101*VLOOKUP('Données projet'!$B$9,Paramètres!$A$1:$I$89,3,0)*VLOOKUP('Données projet'!$B$9,Paramètres!$A$1:$I$89,5,0)</f>
        <v>1.4897523215040567E-13</v>
      </c>
      <c r="P101" s="14">
        <f t="shared" si="87"/>
        <v>2.136562777003313E-12</v>
      </c>
      <c r="Q101" s="22">
        <f t="shared" si="107"/>
        <v>3.9806453659427267E-12</v>
      </c>
      <c r="R101" s="62">
        <f t="shared" si="55"/>
        <v>293.33333333333729</v>
      </c>
      <c r="S101" s="62">
        <f ca="1">AVERAGE(OFFSET($R$3,0,0,'Données projet'!$E$9+1,1))-AVERAGE(OFFSET($H$3,0,0,'Données projet'!$E$9+1,1))</f>
        <v>285.16422150773082</v>
      </c>
      <c r="T101" s="62">
        <f t="shared" si="88"/>
        <v>448.96462312238845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5.9</v>
      </c>
      <c r="AI101" s="14">
        <f>IF('Données projet'!$A$62&gt;35,AI100+AH101-AQ100,IF(A101&lt;'Données projet'!$A$62,$AF$205^A101,IF(A101='Données projet'!$A$62,'Données projet'!$B$62,AI100+AH101-AQ100)))</f>
        <v>349.19999999999993</v>
      </c>
      <c r="AJ101" s="14">
        <f>AI101*VLOOKUP('Données projet'!$B$10,Paramètres!$A$1:$I$89,3,0)*VLOOKUP('Données projet'!$B$10,Paramètres!$A$1:$I$89,5,0)</f>
        <v>315.9561599999999</v>
      </c>
      <c r="AK101" s="14">
        <f t="shared" si="89"/>
        <v>74.511332350300975</v>
      </c>
      <c r="AL101" s="22">
        <f t="shared" si="58"/>
        <v>680.06421584344059</v>
      </c>
      <c r="AM101" s="62">
        <f t="shared" si="59"/>
        <v>973.39754917677396</v>
      </c>
      <c r="AN101" s="62">
        <f ca="1">AVERAGE(OFFSET($AM$3,0,0,'Données projet'!$E$10+1,1))-AVERAGE(OFFSET($H$3,0,0,'Données projet'!$E$10+1,1))</f>
        <v>384.44848355636935</v>
      </c>
      <c r="AO101" s="62">
        <f t="shared" si="90"/>
        <v>203.5274665601915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8.8675733422860506E-14</v>
      </c>
      <c r="BF101" s="14">
        <f t="shared" si="91"/>
        <v>1.3509285393066301E-12</v>
      </c>
      <c r="BG101" s="22">
        <f t="shared" si="61"/>
        <v>2.5073107750038623E-12</v>
      </c>
      <c r="BH101" s="62">
        <f t="shared" si="62"/>
        <v>293.33333333333582</v>
      </c>
      <c r="BI101" s="62">
        <f ca="1">AVERAGE(OFFSET($BH$3,0,0,'Données projet'!$E$11+1,1))-AVERAGE(OFFSET($H$3,0,0,'Données projet'!$E$11+1,1))</f>
        <v>220.70608186257931</v>
      </c>
      <c r="BJ101" s="62">
        <f t="shared" si="92"/>
        <v>208.79744153433245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4.3589743589743648</v>
      </c>
      <c r="BY101" s="13">
        <f>IF('Données projet'!$A$114&gt;35,BY100+BX101-CG100,IF(A101&lt;'Données projet'!$A$114,$BV$205^A101,IF(A101='Données projet'!$A$114,'Données projet'!$B$114,BY100+BX101-CG100)))</f>
        <v>375.25641025640977</v>
      </c>
      <c r="BZ101" s="14">
        <f>BY101*VLOOKUP('Données projet'!$B$12,Paramètres!$A$1:$I$89,3,0)*VLOOKUP('Données projet'!$B$12,Paramètres!$A$1:$I$89,5,0)</f>
        <v>251.72199999999967</v>
      </c>
      <c r="CA101" s="14">
        <f t="shared" si="93"/>
        <v>60.954533791416665</v>
      </c>
      <c r="CB101" s="22">
        <f t="shared" si="64"/>
        <v>544.57829635338339</v>
      </c>
      <c r="CC101" s="62">
        <f t="shared" si="65"/>
        <v>837.91162968671665</v>
      </c>
      <c r="CD101" s="62">
        <f ca="1">AVERAGE(OFFSET($CC$3,0,0,'Données projet'!$E$12+1,1))-AVERAGE(OFFSET($H$3,0,0,'Données projet'!$E$12+1,1))</f>
        <v>310.47303518828346</v>
      </c>
      <c r="CE101" s="62">
        <f t="shared" si="94"/>
        <v>247.30353382335278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1.7053025658242404E-13</v>
      </c>
      <c r="O102" s="14">
        <f>N102*VLOOKUP('Données projet'!$B$9,Paramètres!$A$1:$I$89,3,0)*VLOOKUP('Données projet'!$B$9,Paramètres!$A$1:$I$89,5,0)</f>
        <v>1.4897523215040567E-13</v>
      </c>
      <c r="P102" s="14">
        <f t="shared" si="87"/>
        <v>2.136562777003313E-12</v>
      </c>
      <c r="Q102" s="22">
        <f t="shared" si="107"/>
        <v>3.9806453659427267E-12</v>
      </c>
      <c r="R102" s="62">
        <f t="shared" si="55"/>
        <v>293.33333333333729</v>
      </c>
      <c r="S102" s="62">
        <f ca="1">AVERAGE(OFFSET($R$3,0,0,'Données projet'!$E$9+1,1))-AVERAGE(OFFSET($H$3,0,0,'Données projet'!$E$9+1,1))</f>
        <v>285.16422150773082</v>
      </c>
      <c r="T102" s="62">
        <f t="shared" si="88"/>
        <v>448.96462312238845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5.9</v>
      </c>
      <c r="AI102" s="14">
        <f>IF('Données projet'!$A$62&gt;35,AI101+AH102-AQ101,IF(A102&lt;'Données projet'!$A$62,$AF$205^A102,IF(A102='Données projet'!$A$62,'Données projet'!$B$62,AI101+AH102-AQ101)))</f>
        <v>355.09999999999991</v>
      </c>
      <c r="AJ102" s="14">
        <f>AI102*VLOOKUP('Données projet'!$B$10,Paramètres!$A$1:$I$89,3,0)*VLOOKUP('Données projet'!$B$10,Paramètres!$A$1:$I$89,5,0)</f>
        <v>321.29447999999991</v>
      </c>
      <c r="AK102" s="14">
        <f t="shared" si="89"/>
        <v>75.622632084792471</v>
      </c>
      <c r="AL102" s="22">
        <f t="shared" si="58"/>
        <v>691.29730354767992</v>
      </c>
      <c r="AM102" s="62">
        <f t="shared" si="59"/>
        <v>984.63063688101329</v>
      </c>
      <c r="AN102" s="62">
        <f ca="1">AVERAGE(OFFSET($AM$3,0,0,'Données projet'!$E$10+1,1))-AVERAGE(OFFSET($H$3,0,0,'Données projet'!$E$10+1,1))</f>
        <v>384.44848355636935</v>
      </c>
      <c r="AO102" s="62">
        <f t="shared" si="90"/>
        <v>203.5274665601915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8.8675733422860506E-14</v>
      </c>
      <c r="BF102" s="14">
        <f t="shared" si="91"/>
        <v>1.3509285393066301E-12</v>
      </c>
      <c r="BG102" s="22">
        <f t="shared" si="61"/>
        <v>2.5073107750038623E-12</v>
      </c>
      <c r="BH102" s="62">
        <f t="shared" si="62"/>
        <v>293.33333333333582</v>
      </c>
      <c r="BI102" s="62">
        <f ca="1">AVERAGE(OFFSET($BH$3,0,0,'Données projet'!$E$11+1,1))-AVERAGE(OFFSET($H$3,0,0,'Données projet'!$E$11+1,1))</f>
        <v>220.70608186257931</v>
      </c>
      <c r="BJ102" s="62">
        <f t="shared" si="92"/>
        <v>208.79744153433245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4.3589743589743648</v>
      </c>
      <c r="BY102" s="13">
        <f>IF('Données projet'!$A$114&gt;35,BY101+BX102-CG101,IF(A102&lt;'Données projet'!$A$114,$BV$205^A102,IF(A102='Données projet'!$A$114,'Données projet'!$B$114,BY101+BX102-CG101)))</f>
        <v>379.61538461538413</v>
      </c>
      <c r="BZ102" s="14">
        <f>BY102*VLOOKUP('Données projet'!$B$12,Paramètres!$A$1:$I$89,3,0)*VLOOKUP('Données projet'!$B$12,Paramètres!$A$1:$I$89,5,0)</f>
        <v>254.6459999999997</v>
      </c>
      <c r="CA102" s="14">
        <f t="shared" si="93"/>
        <v>61.579743154986069</v>
      </c>
      <c r="CB102" s="22">
        <f t="shared" si="64"/>
        <v>550.7598359949335</v>
      </c>
      <c r="CC102" s="62">
        <f t="shared" si="65"/>
        <v>844.09316932826687</v>
      </c>
      <c r="CD102" s="62">
        <f ca="1">AVERAGE(OFFSET($CC$3,0,0,'Données projet'!$E$12+1,1))-AVERAGE(OFFSET($H$3,0,0,'Données projet'!$E$12+1,1))</f>
        <v>310.47303518828346</v>
      </c>
      <c r="CE102" s="62">
        <f t="shared" si="94"/>
        <v>247.30353382335278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1.7053025658242404E-13</v>
      </c>
      <c r="O103" s="14">
        <f>N103*VLOOKUP('Données projet'!$B$9,Paramètres!$A$1:$I$89,3,0)*VLOOKUP('Données projet'!$B$9,Paramètres!$A$1:$I$89,5,0)</f>
        <v>1.4897523215040567E-13</v>
      </c>
      <c r="P103" s="14">
        <f t="shared" si="87"/>
        <v>2.136562777003313E-12</v>
      </c>
      <c r="Q103" s="22">
        <f t="shared" si="107"/>
        <v>3.9806453659427267E-12</v>
      </c>
      <c r="R103" s="62">
        <f t="shared" si="55"/>
        <v>293.33333333333729</v>
      </c>
      <c r="S103" s="62">
        <f ca="1">AVERAGE(OFFSET($R$3,0,0,'Données projet'!$E$9+1,1))-AVERAGE(OFFSET($H$3,0,0,'Données projet'!$E$9+1,1))</f>
        <v>285.16422150773082</v>
      </c>
      <c r="T103" s="62">
        <f t="shared" si="88"/>
        <v>448.96462312238845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361</v>
      </c>
      <c r="AG103" s="13">
        <f>VLOOKUP(A103,'Données projet'!$A$61:$I$81,9,0)</f>
        <v>5.9</v>
      </c>
      <c r="AH103" s="13">
        <f t="array" ref="AH103">INDEX(AG:AG,MIN(IF(ISNUMBER(AG103:AG299),ROW(AG103:AG299),"")))</f>
        <v>5.9</v>
      </c>
      <c r="AI103" s="14">
        <f>IF('Données projet'!$A$62&gt;35,AI102+AH103-AQ102,IF(A103&lt;'Données projet'!$A$62,$AF$205^A103,IF(A103='Données projet'!$A$62,'Données projet'!$B$62,AI102+AH103-AQ102)))</f>
        <v>360.99999999999989</v>
      </c>
      <c r="AJ103" s="14">
        <f>AI103*VLOOKUP('Données projet'!$B$10,Paramètres!$A$1:$I$89,3,0)*VLOOKUP('Données projet'!$B$10,Paramètres!$A$1:$I$89,5,0)</f>
        <v>326.63279999999986</v>
      </c>
      <c r="AK103" s="14">
        <f t="shared" si="89"/>
        <v>76.731784548754774</v>
      </c>
      <c r="AL103" s="22">
        <f t="shared" si="58"/>
        <v>702.52665142241437</v>
      </c>
      <c r="AM103" s="62">
        <f t="shared" si="59"/>
        <v>995.85998475574775</v>
      </c>
      <c r="AN103" s="62">
        <f ca="1">AVERAGE(OFFSET($AM$3,0,0,'Données projet'!$E$10+1,1))-AVERAGE(OFFSET($H$3,0,0,'Données projet'!$E$10+1,1))</f>
        <v>384.44848355636935</v>
      </c>
      <c r="AO103" s="62">
        <f t="shared" si="90"/>
        <v>203.5274665601915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55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8.8675733422860506E-14</v>
      </c>
      <c r="BF103" s="14">
        <f t="shared" si="91"/>
        <v>1.3509285393066301E-12</v>
      </c>
      <c r="BG103" s="22">
        <f t="shared" si="61"/>
        <v>2.5073107750038623E-12</v>
      </c>
      <c r="BH103" s="62">
        <f t="shared" si="62"/>
        <v>293.33333333333582</v>
      </c>
      <c r="BI103" s="62">
        <f ca="1">AVERAGE(OFFSET($BH$3,0,0,'Données projet'!$E$11+1,1))-AVERAGE(OFFSET($H$3,0,0,'Données projet'!$E$11+1,1))</f>
        <v>220.70608186257931</v>
      </c>
      <c r="BJ103" s="62">
        <f t="shared" si="92"/>
        <v>208.79744153433245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383.97435897435895</v>
      </c>
      <c r="BW103" s="13">
        <f>VLOOKUP(A103,'Données projet'!$A$113:$I$133,9,0)</f>
        <v>4.3589743589743648</v>
      </c>
      <c r="BX103" s="13">
        <f t="array" ref="BX103">INDEX(BW:BW,MIN(IF(ISNUMBER(BW103:BW299),ROW(BW103:BW299),"")))</f>
        <v>4.3589743589743648</v>
      </c>
      <c r="BY103" s="13">
        <f>IF('Données projet'!$A$114&gt;35,BY102+BX103-CG102,IF(A103&lt;'Données projet'!$A$114,$BV$205^A103,IF(A103='Données projet'!$A$114,'Données projet'!$B$114,BY102+BX103-CG102)))</f>
        <v>383.97435897435849</v>
      </c>
      <c r="BZ103" s="14">
        <f>BY103*VLOOKUP('Données projet'!$B$12,Paramètres!$A$1:$I$89,3,0)*VLOOKUP('Données projet'!$B$12,Paramètres!$A$1:$I$89,5,0)</f>
        <v>257.56999999999965</v>
      </c>
      <c r="CA103" s="14">
        <f t="shared" si="93"/>
        <v>62.204117417841346</v>
      </c>
      <c r="CB103" s="22">
        <f t="shared" si="64"/>
        <v>556.93992116940638</v>
      </c>
      <c r="CC103" s="62">
        <f t="shared" si="65"/>
        <v>850.27325450273975</v>
      </c>
      <c r="CD103" s="62">
        <f ca="1">AVERAGE(OFFSET($CC$3,0,0,'Données projet'!$E$12+1,1))-AVERAGE(OFFSET($H$3,0,0,'Données projet'!$E$12+1,1))</f>
        <v>310.47303518828346</v>
      </c>
      <c r="CE103" s="62">
        <f t="shared" si="94"/>
        <v>247.30353382335278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1.7053025658242404E-13</v>
      </c>
      <c r="O104" s="14">
        <f>N104*VLOOKUP('Données projet'!$B$9,Paramètres!$A$1:$I$89,3,0)*VLOOKUP('Données projet'!$B$9,Paramètres!$A$1:$I$89,5,0)</f>
        <v>1.4897523215040567E-13</v>
      </c>
      <c r="P104" s="14">
        <f t="shared" si="87"/>
        <v>2.136562777003313E-12</v>
      </c>
      <c r="Q104" s="22">
        <f t="shared" si="107"/>
        <v>3.9806453659427267E-12</v>
      </c>
      <c r="R104" s="62">
        <f t="shared" si="55"/>
        <v>293.33333333333729</v>
      </c>
      <c r="S104" s="62">
        <f ca="1">AVERAGE(OFFSET($R$3,0,0,'Données projet'!$E$9+1,1))-AVERAGE(OFFSET($H$3,0,0,'Données projet'!$E$9+1,1))</f>
        <v>285.16422150773082</v>
      </c>
      <c r="T104" s="62">
        <f t="shared" si="88"/>
        <v>448.96462312238845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311.39999999999986</v>
      </c>
      <c r="AJ104" s="14">
        <f>AI104*VLOOKUP('Données projet'!$B$10,Paramètres!$A$1:$I$89,3,0)*VLOOKUP('Données projet'!$B$10,Paramètres!$A$1:$I$89,5,0)</f>
        <v>281.75471999999985</v>
      </c>
      <c r="AK104" s="14">
        <f t="shared" si="89"/>
        <v>67.337696723120317</v>
      </c>
      <c r="AL104" s="22">
        <f t="shared" si="58"/>
        <v>608.0026257927675</v>
      </c>
      <c r="AM104" s="62">
        <f t="shared" si="59"/>
        <v>901.33595912610076</v>
      </c>
      <c r="AN104" s="62">
        <f ca="1">AVERAGE(OFFSET($AM$3,0,0,'Données projet'!$E$10+1,1))-AVERAGE(OFFSET($H$3,0,0,'Données projet'!$E$10+1,1))</f>
        <v>384.44848355636935</v>
      </c>
      <c r="AO104" s="62">
        <f t="shared" si="90"/>
        <v>203.5274665601915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8.8675733422860506E-14</v>
      </c>
      <c r="BF104" s="14">
        <f t="shared" si="91"/>
        <v>1.3509285393066301E-12</v>
      </c>
      <c r="BG104" s="22">
        <f t="shared" si="61"/>
        <v>2.5073107750038623E-12</v>
      </c>
      <c r="BH104" s="62">
        <f t="shared" si="62"/>
        <v>293.33333333333582</v>
      </c>
      <c r="BI104" s="62">
        <f ca="1">AVERAGE(OFFSET($BH$3,0,0,'Données projet'!$E$11+1,1))-AVERAGE(OFFSET($H$3,0,0,'Données projet'!$E$11+1,1))</f>
        <v>220.70608186257931</v>
      </c>
      <c r="BJ104" s="62">
        <f t="shared" si="92"/>
        <v>208.79744153433245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3.974358974358978</v>
      </c>
      <c r="BY104" s="13">
        <f>IF('Données projet'!$A$114&gt;35,BY103+BX104-CG103,IF(A104&lt;'Données projet'!$A$114,$BV$205^A104,IF(A104='Données projet'!$A$114,'Données projet'!$B$114,BY103+BX104-CG103)))</f>
        <v>387.94871794871744</v>
      </c>
      <c r="BZ104" s="14">
        <f>BY104*VLOOKUP('Données projet'!$B$12,Paramètres!$A$1:$I$89,3,0)*VLOOKUP('Données projet'!$B$12,Paramètres!$A$1:$I$89,5,0)</f>
        <v>260.23599999999965</v>
      </c>
      <c r="CA104" s="14">
        <f t="shared" si="93"/>
        <v>62.772680962551817</v>
      </c>
      <c r="CB104" s="22">
        <f t="shared" si="64"/>
        <v>562.57345267644382</v>
      </c>
      <c r="CC104" s="62">
        <f t="shared" si="65"/>
        <v>855.90678600977708</v>
      </c>
      <c r="CD104" s="62">
        <f ca="1">AVERAGE(OFFSET($CC$3,0,0,'Données projet'!$E$12+1,1))-AVERAGE(OFFSET($H$3,0,0,'Données projet'!$E$12+1,1))</f>
        <v>310.47303518828346</v>
      </c>
      <c r="CE104" s="62">
        <f t="shared" si="94"/>
        <v>247.30353382335278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1.7053025658242404E-13</v>
      </c>
      <c r="O105" s="14">
        <f>N105*VLOOKUP('Données projet'!$B$9,Paramètres!$A$1:$I$89,3,0)*VLOOKUP('Données projet'!$B$9,Paramètres!$A$1:$I$89,5,0)</f>
        <v>1.4897523215040567E-13</v>
      </c>
      <c r="P105" s="14">
        <f t="shared" si="87"/>
        <v>2.136562777003313E-12</v>
      </c>
      <c r="Q105" s="22">
        <f t="shared" si="107"/>
        <v>3.9806453659427267E-12</v>
      </c>
      <c r="R105" s="62">
        <f t="shared" si="55"/>
        <v>293.33333333333729</v>
      </c>
      <c r="S105" s="62">
        <f ca="1">AVERAGE(OFFSET($R$3,0,0,'Données projet'!$E$9+1,1))-AVERAGE(OFFSET($H$3,0,0,'Données projet'!$E$9+1,1))</f>
        <v>285.16422150773082</v>
      </c>
      <c r="T105" s="62">
        <f t="shared" si="88"/>
        <v>448.96462312238845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316.79999999999984</v>
      </c>
      <c r="AJ105" s="14">
        <f>AI105*VLOOKUP('Données projet'!$B$10,Paramètres!$A$1:$I$89,3,0)*VLOOKUP('Données projet'!$B$10,Paramètres!$A$1:$I$89,5,0)</f>
        <v>286.64063999999985</v>
      </c>
      <c r="AK105" s="14">
        <f t="shared" si="89"/>
        <v>68.368446832003599</v>
      </c>
      <c r="AL105" s="22">
        <f t="shared" si="58"/>
        <v>618.3074928990726</v>
      </c>
      <c r="AM105" s="62">
        <f t="shared" si="59"/>
        <v>911.64082623240597</v>
      </c>
      <c r="AN105" s="62">
        <f ca="1">AVERAGE(OFFSET($AM$3,0,0,'Données projet'!$E$10+1,1))-AVERAGE(OFFSET($H$3,0,0,'Données projet'!$E$10+1,1))</f>
        <v>384.44848355636935</v>
      </c>
      <c r="AO105" s="62">
        <f t="shared" si="90"/>
        <v>203.5274665601915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8.8675733422860506E-14</v>
      </c>
      <c r="BF105" s="14">
        <f t="shared" si="91"/>
        <v>1.3509285393066301E-12</v>
      </c>
      <c r="BG105" s="22">
        <f t="shared" si="61"/>
        <v>2.5073107750038623E-12</v>
      </c>
      <c r="BH105" s="62">
        <f t="shared" si="62"/>
        <v>293.33333333333582</v>
      </c>
      <c r="BI105" s="62">
        <f ca="1">AVERAGE(OFFSET($BH$3,0,0,'Données projet'!$E$11+1,1))-AVERAGE(OFFSET($H$3,0,0,'Données projet'!$E$11+1,1))</f>
        <v>220.70608186257931</v>
      </c>
      <c r="BJ105" s="62">
        <f t="shared" si="92"/>
        <v>208.79744153433245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3.974358974358978</v>
      </c>
      <c r="BY105" s="13">
        <f>IF('Données projet'!$A$114&gt;35,BY104+BX105-CG104,IF(A105&lt;'Données projet'!$A$114,$BV$205^A105,IF(A105='Données projet'!$A$114,'Données projet'!$B$114,BY104+BX105-CG104)))</f>
        <v>391.92307692307645</v>
      </c>
      <c r="BZ105" s="14">
        <f>BY105*VLOOKUP('Données projet'!$B$12,Paramètres!$A$1:$I$89,3,0)*VLOOKUP('Données projet'!$B$12,Paramètres!$A$1:$I$89,5,0)</f>
        <v>262.9019999999997</v>
      </c>
      <c r="CA105" s="14">
        <f t="shared" si="93"/>
        <v>63.340566906509345</v>
      </c>
      <c r="CB105" s="22">
        <f t="shared" si="64"/>
        <v>568.20580402883661</v>
      </c>
      <c r="CC105" s="62">
        <f t="shared" si="65"/>
        <v>861.53913736216987</v>
      </c>
      <c r="CD105" s="62">
        <f ca="1">AVERAGE(OFFSET($CC$3,0,0,'Données projet'!$E$12+1,1))-AVERAGE(OFFSET($H$3,0,0,'Données projet'!$E$12+1,1))</f>
        <v>310.47303518828346</v>
      </c>
      <c r="CE105" s="62">
        <f t="shared" si="94"/>
        <v>247.30353382335278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1.7053025658242404E-13</v>
      </c>
      <c r="O106" s="14">
        <f>N106*VLOOKUP('Données projet'!$B$9,Paramètres!$A$1:$I$89,3,0)*VLOOKUP('Données projet'!$B$9,Paramètres!$A$1:$I$89,5,0)</f>
        <v>1.4897523215040567E-13</v>
      </c>
      <c r="P106" s="14">
        <f t="shared" si="87"/>
        <v>2.136562777003313E-12</v>
      </c>
      <c r="Q106" s="22">
        <f t="shared" si="107"/>
        <v>3.9806453659427267E-12</v>
      </c>
      <c r="R106" s="62">
        <f t="shared" si="55"/>
        <v>293.33333333333729</v>
      </c>
      <c r="S106" s="62">
        <f ca="1">AVERAGE(OFFSET($R$3,0,0,'Données projet'!$E$9+1,1))-AVERAGE(OFFSET($H$3,0,0,'Données projet'!$E$9+1,1))</f>
        <v>285.16422150773082</v>
      </c>
      <c r="T106" s="62">
        <f t="shared" si="88"/>
        <v>448.96462312238845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322.19999999999982</v>
      </c>
      <c r="AJ106" s="14">
        <f>AI106*VLOOKUP('Données projet'!$B$10,Paramètres!$A$1:$I$89,3,0)*VLOOKUP('Données projet'!$B$10,Paramètres!$A$1:$I$89,5,0)</f>
        <v>291.52655999999985</v>
      </c>
      <c r="AK106" s="14">
        <f t="shared" si="89"/>
        <v>69.397153761857183</v>
      </c>
      <c r="AL106" s="22">
        <f t="shared" si="58"/>
        <v>628.60880146856755</v>
      </c>
      <c r="AM106" s="62">
        <f t="shared" si="59"/>
        <v>921.94213480190092</v>
      </c>
      <c r="AN106" s="62">
        <f ca="1">AVERAGE(OFFSET($AM$3,0,0,'Données projet'!$E$10+1,1))-AVERAGE(OFFSET($H$3,0,0,'Données projet'!$E$10+1,1))</f>
        <v>384.44848355636935</v>
      </c>
      <c r="AO106" s="62">
        <f t="shared" si="90"/>
        <v>203.5274665601915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8.8675733422860506E-14</v>
      </c>
      <c r="BF106" s="14">
        <f t="shared" si="91"/>
        <v>1.3509285393066301E-12</v>
      </c>
      <c r="BG106" s="22">
        <f t="shared" si="61"/>
        <v>2.5073107750038623E-12</v>
      </c>
      <c r="BH106" s="62">
        <f t="shared" si="62"/>
        <v>293.33333333333582</v>
      </c>
      <c r="BI106" s="62">
        <f ca="1">AVERAGE(OFFSET($BH$3,0,0,'Données projet'!$E$11+1,1))-AVERAGE(OFFSET($H$3,0,0,'Données projet'!$E$11+1,1))</f>
        <v>220.70608186257931</v>
      </c>
      <c r="BJ106" s="62">
        <f t="shared" si="92"/>
        <v>208.79744153433245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3.974358974358978</v>
      </c>
      <c r="BY106" s="13">
        <f>IF('Données projet'!$A$114&gt;35,BY105+BX106-CG105,IF(A106&lt;'Données projet'!$A$114,$BV$205^A106,IF(A106='Données projet'!$A$114,'Données projet'!$B$114,BY105+BX106-CG105)))</f>
        <v>395.89743589743546</v>
      </c>
      <c r="BZ106" s="14">
        <f>BY106*VLOOKUP('Données projet'!$B$12,Paramètres!$A$1:$I$89,3,0)*VLOOKUP('Données projet'!$B$12,Paramètres!$A$1:$I$89,5,0)</f>
        <v>265.5679999999997</v>
      </c>
      <c r="CA106" s="14">
        <f t="shared" si="93"/>
        <v>63.907782916593277</v>
      </c>
      <c r="CB106" s="22">
        <f t="shared" si="64"/>
        <v>573.83698857973275</v>
      </c>
      <c r="CC106" s="62">
        <f t="shared" si="65"/>
        <v>867.17032191306612</v>
      </c>
      <c r="CD106" s="62">
        <f ca="1">AVERAGE(OFFSET($CC$3,0,0,'Données projet'!$E$12+1,1))-AVERAGE(OFFSET($H$3,0,0,'Données projet'!$E$12+1,1))</f>
        <v>310.47303518828346</v>
      </c>
      <c r="CE106" s="62">
        <f t="shared" si="94"/>
        <v>247.30353382335278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1.7053025658242404E-13</v>
      </c>
      <c r="O107" s="14">
        <f>N107*VLOOKUP('Données projet'!$B$9,Paramètres!$A$1:$I$89,3,0)*VLOOKUP('Données projet'!$B$9,Paramètres!$A$1:$I$89,5,0)</f>
        <v>1.4897523215040567E-13</v>
      </c>
      <c r="P107" s="14">
        <f t="shared" si="87"/>
        <v>2.136562777003313E-12</v>
      </c>
      <c r="Q107" s="22">
        <f t="shared" si="107"/>
        <v>3.9806453659427267E-12</v>
      </c>
      <c r="R107" s="62">
        <f t="shared" si="55"/>
        <v>293.33333333333729</v>
      </c>
      <c r="S107" s="62">
        <f ca="1">AVERAGE(OFFSET($R$3,0,0,'Données projet'!$E$9+1,1))-AVERAGE(OFFSET($H$3,0,0,'Données projet'!$E$9+1,1))</f>
        <v>285.16422150773082</v>
      </c>
      <c r="T107" s="62">
        <f t="shared" si="88"/>
        <v>448.96462312238845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327.5999999999998</v>
      </c>
      <c r="AJ107" s="14">
        <f>AI107*VLOOKUP('Données projet'!$B$10,Paramètres!$A$1:$I$89,3,0)*VLOOKUP('Données projet'!$B$10,Paramètres!$A$1:$I$89,5,0)</f>
        <v>296.41247999999979</v>
      </c>
      <c r="AK107" s="14">
        <f t="shared" si="89"/>
        <v>70.423855708154704</v>
      </c>
      <c r="AL107" s="22">
        <f t="shared" si="58"/>
        <v>638.90661802503575</v>
      </c>
      <c r="AM107" s="62">
        <f t="shared" si="59"/>
        <v>932.23995135836913</v>
      </c>
      <c r="AN107" s="62">
        <f ca="1">AVERAGE(OFFSET($AM$3,0,0,'Données projet'!$E$10+1,1))-AVERAGE(OFFSET($H$3,0,0,'Données projet'!$E$10+1,1))</f>
        <v>384.44848355636935</v>
      </c>
      <c r="AO107" s="62">
        <f t="shared" si="90"/>
        <v>203.5274665601915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8.8675733422860506E-14</v>
      </c>
      <c r="BF107" s="14">
        <f t="shared" si="91"/>
        <v>1.3509285393066301E-12</v>
      </c>
      <c r="BG107" s="22">
        <f t="shared" si="61"/>
        <v>2.5073107750038623E-12</v>
      </c>
      <c r="BH107" s="62">
        <f t="shared" si="62"/>
        <v>293.33333333333582</v>
      </c>
      <c r="BI107" s="62">
        <f ca="1">AVERAGE(OFFSET($BH$3,0,0,'Données projet'!$E$11+1,1))-AVERAGE(OFFSET($H$3,0,0,'Données projet'!$E$11+1,1))</f>
        <v>220.70608186257931</v>
      </c>
      <c r="BJ107" s="62">
        <f t="shared" si="92"/>
        <v>208.79744153433245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3.974358974358978</v>
      </c>
      <c r="BY107" s="13">
        <f>IF('Données projet'!$A$114&gt;35,BY106+BX107-CG106,IF(A107&lt;'Données projet'!$A$114,$BV$205^A107,IF(A107='Données projet'!$A$114,'Données projet'!$B$114,BY106+BX107-CG106)))</f>
        <v>399.87179487179446</v>
      </c>
      <c r="BZ107" s="14">
        <f>BY107*VLOOKUP('Données projet'!$B$12,Paramètres!$A$1:$I$89,3,0)*VLOOKUP('Données projet'!$B$12,Paramètres!$A$1:$I$89,5,0)</f>
        <v>268.23399999999975</v>
      </c>
      <c r="CA107" s="14">
        <f t="shared" si="93"/>
        <v>64.474336496877569</v>
      </c>
      <c r="CB107" s="22">
        <f t="shared" si="64"/>
        <v>579.46701939872798</v>
      </c>
      <c r="CC107" s="62">
        <f t="shared" si="65"/>
        <v>872.80035273206136</v>
      </c>
      <c r="CD107" s="62">
        <f ca="1">AVERAGE(OFFSET($CC$3,0,0,'Données projet'!$E$12+1,1))-AVERAGE(OFFSET($H$3,0,0,'Données projet'!$E$12+1,1))</f>
        <v>310.47303518828346</v>
      </c>
      <c r="CE107" s="62">
        <f t="shared" si="94"/>
        <v>247.30353382335278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1.7053025658242404E-13</v>
      </c>
      <c r="O108" s="14">
        <f>N108*VLOOKUP('Données projet'!$B$9,Paramètres!$A$1:$I$89,3,0)*VLOOKUP('Données projet'!$B$9,Paramètres!$A$1:$I$89,5,0)</f>
        <v>1.4897523215040567E-13</v>
      </c>
      <c r="P108" s="14">
        <f t="shared" si="87"/>
        <v>2.136562777003313E-12</v>
      </c>
      <c r="Q108" s="22">
        <f t="shared" si="107"/>
        <v>3.9806453659427267E-12</v>
      </c>
      <c r="R108" s="62">
        <f t="shared" si="55"/>
        <v>293.33333333333729</v>
      </c>
      <c r="S108" s="62">
        <f ca="1">AVERAGE(OFFSET($R$3,0,0,'Données projet'!$E$9+1,1))-AVERAGE(OFFSET($H$3,0,0,'Données projet'!$E$9+1,1))</f>
        <v>285.16422150773082</v>
      </c>
      <c r="T108" s="62">
        <f t="shared" si="88"/>
        <v>448.96462312238845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332.99999999999977</v>
      </c>
      <c r="AJ108" s="14">
        <f>AI108*VLOOKUP('Données projet'!$B$10,Paramètres!$A$1:$I$89,3,0)*VLOOKUP('Données projet'!$B$10,Paramètres!$A$1:$I$89,5,0)</f>
        <v>301.29839999999979</v>
      </c>
      <c r="AK108" s="14">
        <f t="shared" si="89"/>
        <v>71.448589534990461</v>
      </c>
      <c r="AL108" s="22">
        <f t="shared" si="58"/>
        <v>649.20100677344124</v>
      </c>
      <c r="AM108" s="62">
        <f t="shared" si="59"/>
        <v>942.53434010677461</v>
      </c>
      <c r="AN108" s="62">
        <f ca="1">AVERAGE(OFFSET($AM$3,0,0,'Données projet'!$E$10+1,1))-AVERAGE(OFFSET($H$3,0,0,'Données projet'!$E$10+1,1))</f>
        <v>384.44848355636935</v>
      </c>
      <c r="AO108" s="62">
        <f t="shared" si="90"/>
        <v>203.5274665601915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8.8675733422860506E-14</v>
      </c>
      <c r="BF108" s="14">
        <f t="shared" si="91"/>
        <v>1.3509285393066301E-12</v>
      </c>
      <c r="BG108" s="22">
        <f t="shared" si="61"/>
        <v>2.5073107750038623E-12</v>
      </c>
      <c r="BH108" s="62">
        <f t="shared" si="62"/>
        <v>293.33333333333582</v>
      </c>
      <c r="BI108" s="62">
        <f ca="1">AVERAGE(OFFSET($BH$3,0,0,'Données projet'!$E$11+1,1))-AVERAGE(OFFSET($H$3,0,0,'Données projet'!$E$11+1,1))</f>
        <v>220.70608186257931</v>
      </c>
      <c r="BJ108" s="62">
        <f t="shared" si="92"/>
        <v>208.79744153433245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3.974358974358978</v>
      </c>
      <c r="BY108" s="13">
        <f>IF('Données projet'!$A$114&gt;35,BY107+BX108-CG107,IF(A108&lt;'Données projet'!$A$114,$BV$205^A108,IF(A108='Données projet'!$A$114,'Données projet'!$B$114,BY107+BX108-CG107)))</f>
        <v>403.84615384615347</v>
      </c>
      <c r="BZ108" s="14">
        <f>BY108*VLOOKUP('Données projet'!$B$12,Paramètres!$A$1:$I$89,3,0)*VLOOKUP('Données projet'!$B$12,Paramètres!$A$1:$I$89,5,0)</f>
        <v>270.89999999999975</v>
      </c>
      <c r="CA108" s="14">
        <f t="shared" si="93"/>
        <v>65.040234993671021</v>
      </c>
      <c r="CB108" s="22">
        <f t="shared" si="64"/>
        <v>585.09590928064313</v>
      </c>
      <c r="CC108" s="62">
        <f t="shared" si="65"/>
        <v>878.42924261397638</v>
      </c>
      <c r="CD108" s="62">
        <f ca="1">AVERAGE(OFFSET($CC$3,0,0,'Données projet'!$E$12+1,1))-AVERAGE(OFFSET($H$3,0,0,'Données projet'!$E$12+1,1))</f>
        <v>310.47303518828346</v>
      </c>
      <c r="CE108" s="62">
        <f t="shared" si="94"/>
        <v>247.30353382335278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1.7053025658242404E-13</v>
      </c>
      <c r="O109" s="14">
        <f>N109*VLOOKUP('Données projet'!$B$9,Paramètres!$A$1:$I$89,3,0)*VLOOKUP('Données projet'!$B$9,Paramètres!$A$1:$I$89,5,0)</f>
        <v>1.4897523215040567E-13</v>
      </c>
      <c r="P109" s="14">
        <f t="shared" si="87"/>
        <v>2.136562777003313E-12</v>
      </c>
      <c r="Q109" s="22">
        <f t="shared" si="107"/>
        <v>3.9806453659427267E-12</v>
      </c>
      <c r="R109" s="62">
        <f t="shared" si="55"/>
        <v>293.33333333333729</v>
      </c>
      <c r="S109" s="62">
        <f ca="1">AVERAGE(OFFSET($R$3,0,0,'Données projet'!$E$9+1,1))-AVERAGE(OFFSET($H$3,0,0,'Données projet'!$E$9+1,1))</f>
        <v>285.16422150773082</v>
      </c>
      <c r="T109" s="62">
        <f t="shared" si="88"/>
        <v>448.96462312238845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</v>
      </c>
      <c r="AI109" s="14">
        <f>IF('Données projet'!$A$62&gt;35,AI108+AH109-AQ108,IF(A109&lt;'Données projet'!$A$62,$AF$205^A109,IF(A109='Données projet'!$A$62,'Données projet'!$B$62,AI108+AH109-AQ108)))</f>
        <v>338.39999999999975</v>
      </c>
      <c r="AJ109" s="14">
        <f>AI109*VLOOKUP('Données projet'!$B$10,Paramètres!$A$1:$I$89,3,0)*VLOOKUP('Données projet'!$B$10,Paramètres!$A$1:$I$89,5,0)</f>
        <v>306.18431999999979</v>
      </c>
      <c r="AK109" s="14">
        <f t="shared" si="89"/>
        <v>72.471390842310868</v>
      </c>
      <c r="AL109" s="22">
        <f t="shared" si="58"/>
        <v>659.49202971702437</v>
      </c>
      <c r="AM109" s="62">
        <f t="shared" si="59"/>
        <v>952.82536305035774</v>
      </c>
      <c r="AN109" s="62">
        <f ca="1">AVERAGE(OFFSET($AM$3,0,0,'Données projet'!$E$10+1,1))-AVERAGE(OFFSET($H$3,0,0,'Données projet'!$E$10+1,1))</f>
        <v>384.44848355636935</v>
      </c>
      <c r="AO109" s="62">
        <f t="shared" si="90"/>
        <v>203.5274665601915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8.8675733422860506E-14</v>
      </c>
      <c r="BF109" s="14">
        <f t="shared" si="91"/>
        <v>1.3509285393066301E-12</v>
      </c>
      <c r="BG109" s="22">
        <f t="shared" si="61"/>
        <v>2.5073107750038623E-12</v>
      </c>
      <c r="BH109" s="62">
        <f t="shared" si="62"/>
        <v>293.33333333333582</v>
      </c>
      <c r="BI109" s="62">
        <f ca="1">AVERAGE(OFFSET($BH$3,0,0,'Données projet'!$E$11+1,1))-AVERAGE(OFFSET($H$3,0,0,'Données projet'!$E$11+1,1))</f>
        <v>220.70608186257931</v>
      </c>
      <c r="BJ109" s="62">
        <f t="shared" si="92"/>
        <v>208.79744153433245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3.974358974358978</v>
      </c>
      <c r="BY109" s="13">
        <f>IF('Données projet'!$A$114&gt;35,BY108+BX109-CG108,IF(A109&lt;'Données projet'!$A$114,$BV$205^A109,IF(A109='Données projet'!$A$114,'Données projet'!$B$114,BY108+BX109-CG108)))</f>
        <v>407.82051282051248</v>
      </c>
      <c r="BZ109" s="14">
        <f>BY109*VLOOKUP('Données projet'!$B$12,Paramètres!$A$1:$I$89,3,0)*VLOOKUP('Données projet'!$B$12,Paramètres!$A$1:$I$89,5,0)</f>
        <v>273.56599999999975</v>
      </c>
      <c r="CA109" s="14">
        <f t="shared" si="93"/>
        <v>65.605485600353234</v>
      </c>
      <c r="CB109" s="22">
        <f t="shared" si="64"/>
        <v>590.72367075394811</v>
      </c>
      <c r="CC109" s="62">
        <f t="shared" si="65"/>
        <v>884.05700408728148</v>
      </c>
      <c r="CD109" s="62">
        <f ca="1">AVERAGE(OFFSET($CC$3,0,0,'Données projet'!$E$12+1,1))-AVERAGE(OFFSET($H$3,0,0,'Données projet'!$E$12+1,1))</f>
        <v>310.47303518828346</v>
      </c>
      <c r="CE109" s="62">
        <f t="shared" si="94"/>
        <v>247.30353382335278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1.7053025658242404E-13</v>
      </c>
      <c r="O110" s="14">
        <f>N110*VLOOKUP('Données projet'!$B$9,Paramètres!$A$1:$I$89,3,0)*VLOOKUP('Données projet'!$B$9,Paramètres!$A$1:$I$89,5,0)</f>
        <v>1.4897523215040567E-13</v>
      </c>
      <c r="P110" s="14">
        <f t="shared" si="87"/>
        <v>2.136562777003313E-12</v>
      </c>
      <c r="Q110" s="22">
        <f t="shared" si="107"/>
        <v>3.9806453659427267E-12</v>
      </c>
      <c r="R110" s="62">
        <f t="shared" si="55"/>
        <v>293.33333333333729</v>
      </c>
      <c r="S110" s="62">
        <f ca="1">AVERAGE(OFFSET($R$3,0,0,'Données projet'!$E$9+1,1))-AVERAGE(OFFSET($H$3,0,0,'Données projet'!$E$9+1,1))</f>
        <v>285.16422150773082</v>
      </c>
      <c r="T110" s="62">
        <f t="shared" si="88"/>
        <v>448.96462312238845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</v>
      </c>
      <c r="AI110" s="14">
        <f>IF('Données projet'!$A$62&gt;35,AI109+AH110-AQ109,IF(A110&lt;'Données projet'!$A$62,$AF$205^A110,IF(A110='Données projet'!$A$62,'Données projet'!$B$62,AI109+AH110-AQ109)))</f>
        <v>343.79999999999973</v>
      </c>
      <c r="AJ110" s="14">
        <f>AI110*VLOOKUP('Données projet'!$B$10,Paramètres!$A$1:$I$89,3,0)*VLOOKUP('Données projet'!$B$10,Paramètres!$A$1:$I$89,5,0)</f>
        <v>311.07023999999973</v>
      </c>
      <c r="AK110" s="14">
        <f t="shared" si="89"/>
        <v>73.492294028732417</v>
      </c>
      <c r="AL110" s="22">
        <f t="shared" si="58"/>
        <v>669.77974676670851</v>
      </c>
      <c r="AM110" s="62">
        <f t="shared" si="59"/>
        <v>963.11308010004177</v>
      </c>
      <c r="AN110" s="62">
        <f ca="1">AVERAGE(OFFSET($AM$3,0,0,'Données projet'!$E$10+1,1))-AVERAGE(OFFSET($H$3,0,0,'Données projet'!$E$10+1,1))</f>
        <v>384.44848355636935</v>
      </c>
      <c r="AO110" s="62">
        <f t="shared" si="90"/>
        <v>203.5274665601915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8.8675733422860506E-14</v>
      </c>
      <c r="BF110" s="14">
        <f t="shared" si="91"/>
        <v>1.3509285393066301E-12</v>
      </c>
      <c r="BG110" s="22">
        <f t="shared" si="61"/>
        <v>2.5073107750038623E-12</v>
      </c>
      <c r="BH110" s="62">
        <f t="shared" si="62"/>
        <v>293.33333333333582</v>
      </c>
      <c r="BI110" s="62">
        <f ca="1">AVERAGE(OFFSET($BH$3,0,0,'Données projet'!$E$11+1,1))-AVERAGE(OFFSET($H$3,0,0,'Données projet'!$E$11+1,1))</f>
        <v>220.70608186257931</v>
      </c>
      <c r="BJ110" s="62">
        <f t="shared" si="92"/>
        <v>208.79744153433245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3.974358974358978</v>
      </c>
      <c r="BY110" s="13">
        <f>IF('Données projet'!$A$114&gt;35,BY109+BX110-CG109,IF(A110&lt;'Données projet'!$A$114,$BV$205^A110,IF(A110='Données projet'!$A$114,'Données projet'!$B$114,BY109+BX110-CG109)))</f>
        <v>411.79487179487148</v>
      </c>
      <c r="BZ110" s="14">
        <f>BY110*VLOOKUP('Données projet'!$B$12,Paramètres!$A$1:$I$89,3,0)*VLOOKUP('Données projet'!$B$12,Paramètres!$A$1:$I$89,5,0)</f>
        <v>276.2319999999998</v>
      </c>
      <c r="CA110" s="14">
        <f t="shared" si="93"/>
        <v>66.170095362016852</v>
      </c>
      <c r="CB110" s="22">
        <f t="shared" si="64"/>
        <v>596.3503160888456</v>
      </c>
      <c r="CC110" s="62">
        <f t="shared" si="65"/>
        <v>889.68364942217886</v>
      </c>
      <c r="CD110" s="62">
        <f ca="1">AVERAGE(OFFSET($CC$3,0,0,'Données projet'!$E$12+1,1))-AVERAGE(OFFSET($H$3,0,0,'Données projet'!$E$12+1,1))</f>
        <v>310.47303518828346</v>
      </c>
      <c r="CE110" s="62">
        <f t="shared" si="94"/>
        <v>247.30353382335278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1.7053025658242404E-13</v>
      </c>
      <c r="O111" s="14">
        <f>N111*VLOOKUP('Données projet'!$B$9,Paramètres!$A$1:$I$89,3,0)*VLOOKUP('Données projet'!$B$9,Paramètres!$A$1:$I$89,5,0)</f>
        <v>1.4897523215040567E-13</v>
      </c>
      <c r="P111" s="14">
        <f t="shared" si="87"/>
        <v>2.136562777003313E-12</v>
      </c>
      <c r="Q111" s="22">
        <f t="shared" si="107"/>
        <v>3.9806453659427267E-12</v>
      </c>
      <c r="R111" s="62">
        <f t="shared" si="55"/>
        <v>293.33333333333729</v>
      </c>
      <c r="S111" s="62">
        <f ca="1">AVERAGE(OFFSET($R$3,0,0,'Données projet'!$E$9+1,1))-AVERAGE(OFFSET($H$3,0,0,'Données projet'!$E$9+1,1))</f>
        <v>285.16422150773082</v>
      </c>
      <c r="T111" s="62">
        <f t="shared" si="88"/>
        <v>448.96462312238845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</v>
      </c>
      <c r="AI111" s="14">
        <f>IF('Données projet'!$A$62&gt;35,AI110+AH111-AQ110,IF(A111&lt;'Données projet'!$A$62,$AF$205^A111,IF(A111='Données projet'!$A$62,'Données projet'!$B$62,AI110+AH111-AQ110)))</f>
        <v>349.1999999999997</v>
      </c>
      <c r="AJ111" s="14">
        <f>AI111*VLOOKUP('Données projet'!$B$10,Paramètres!$A$1:$I$89,3,0)*VLOOKUP('Données projet'!$B$10,Paramètres!$A$1:$I$89,5,0)</f>
        <v>315.95615999999973</v>
      </c>
      <c r="AK111" s="14">
        <f t="shared" si="89"/>
        <v>74.511332350300975</v>
      </c>
      <c r="AL111" s="22">
        <f t="shared" si="58"/>
        <v>680.06421584344037</v>
      </c>
      <c r="AM111" s="62">
        <f t="shared" si="59"/>
        <v>973.39754917677374</v>
      </c>
      <c r="AN111" s="62">
        <f ca="1">AVERAGE(OFFSET($AM$3,0,0,'Données projet'!$E$10+1,1))-AVERAGE(OFFSET($H$3,0,0,'Données projet'!$E$10+1,1))</f>
        <v>384.44848355636935</v>
      </c>
      <c r="AO111" s="62">
        <f t="shared" si="90"/>
        <v>203.5274665601915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8.8675733422860506E-14</v>
      </c>
      <c r="BF111" s="14">
        <f t="shared" si="91"/>
        <v>1.3509285393066301E-12</v>
      </c>
      <c r="BG111" s="22">
        <f t="shared" si="61"/>
        <v>2.5073107750038623E-12</v>
      </c>
      <c r="BH111" s="62">
        <f t="shared" si="62"/>
        <v>293.33333333333582</v>
      </c>
      <c r="BI111" s="62">
        <f ca="1">AVERAGE(OFFSET($BH$3,0,0,'Données projet'!$E$11+1,1))-AVERAGE(OFFSET($H$3,0,0,'Données projet'!$E$11+1,1))</f>
        <v>220.70608186257931</v>
      </c>
      <c r="BJ111" s="62">
        <f t="shared" si="92"/>
        <v>208.79744153433245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3.974358974358978</v>
      </c>
      <c r="BY111" s="13">
        <f>IF('Données projet'!$A$114&gt;35,BY110+BX111-CG110,IF(A111&lt;'Données projet'!$A$114,$BV$205^A111,IF(A111='Données projet'!$A$114,'Données projet'!$B$114,BY110+BX111-CG110)))</f>
        <v>415.76923076923049</v>
      </c>
      <c r="BZ111" s="14">
        <f>BY111*VLOOKUP('Données projet'!$B$12,Paramètres!$A$1:$I$89,3,0)*VLOOKUP('Données projet'!$B$12,Paramètres!$A$1:$I$89,5,0)</f>
        <v>278.8979999999998</v>
      </c>
      <c r="CA111" s="14">
        <f t="shared" si="93"/>
        <v>66.734071179925664</v>
      </c>
      <c r="CB111" s="22">
        <f t="shared" si="64"/>
        <v>601.97585730503681</v>
      </c>
      <c r="CC111" s="62">
        <f t="shared" si="65"/>
        <v>895.30919063837018</v>
      </c>
      <c r="CD111" s="62">
        <f ca="1">AVERAGE(OFFSET($CC$3,0,0,'Données projet'!$E$12+1,1))-AVERAGE(OFFSET($H$3,0,0,'Données projet'!$E$12+1,1))</f>
        <v>310.47303518828346</v>
      </c>
      <c r="CE111" s="62">
        <f t="shared" si="94"/>
        <v>247.30353382335278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1.7053025658242404E-13</v>
      </c>
      <c r="O112" s="14">
        <f>N112*VLOOKUP('Données projet'!$B$9,Paramètres!$A$1:$I$89,3,0)*VLOOKUP('Données projet'!$B$9,Paramètres!$A$1:$I$89,5,0)</f>
        <v>1.4897523215040567E-13</v>
      </c>
      <c r="P112" s="14">
        <f t="shared" si="87"/>
        <v>2.136562777003313E-12</v>
      </c>
      <c r="Q112" s="22">
        <f t="shared" si="107"/>
        <v>3.9806453659427267E-12</v>
      </c>
      <c r="R112" s="62">
        <f t="shared" si="55"/>
        <v>293.33333333333729</v>
      </c>
      <c r="S112" s="62">
        <f ca="1">AVERAGE(OFFSET($R$3,0,0,'Données projet'!$E$9+1,1))-AVERAGE(OFFSET($H$3,0,0,'Données projet'!$E$9+1,1))</f>
        <v>285.16422150773082</v>
      </c>
      <c r="T112" s="62">
        <f t="shared" si="88"/>
        <v>448.96462312238845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5.4</v>
      </c>
      <c r="AI112" s="14">
        <f>IF('Données projet'!$A$62&gt;35,AI111+AH112-AQ111,IF(A112&lt;'Données projet'!$A$62,$AF$205^A112,IF(A112='Données projet'!$A$62,'Données projet'!$B$62,AI111+AH112-AQ111)))</f>
        <v>354.59999999999968</v>
      </c>
      <c r="AJ112" s="14">
        <f>AI112*VLOOKUP('Données projet'!$B$10,Paramètres!$A$1:$I$89,3,0)*VLOOKUP('Données projet'!$B$10,Paramètres!$A$1:$I$89,5,0)</f>
        <v>320.84207999999973</v>
      </c>
      <c r="AK112" s="14">
        <f t="shared" si="89"/>
        <v>75.528537975513771</v>
      </c>
      <c r="AL112" s="22">
        <f t="shared" si="58"/>
        <v>690.34549297401929</v>
      </c>
      <c r="AM112" s="62">
        <f t="shared" si="59"/>
        <v>983.67882630735267</v>
      </c>
      <c r="AN112" s="62">
        <f ca="1">AVERAGE(OFFSET($AM$3,0,0,'Données projet'!$E$10+1,1))-AVERAGE(OFFSET($H$3,0,0,'Données projet'!$E$10+1,1))</f>
        <v>384.44848355636935</v>
      </c>
      <c r="AO112" s="62">
        <f t="shared" si="90"/>
        <v>203.5274665601915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8.8675733422860506E-14</v>
      </c>
      <c r="BF112" s="14">
        <f t="shared" si="91"/>
        <v>1.3509285393066301E-12</v>
      </c>
      <c r="BG112" s="22">
        <f t="shared" si="61"/>
        <v>2.5073107750038623E-12</v>
      </c>
      <c r="BH112" s="62">
        <f t="shared" si="62"/>
        <v>293.33333333333582</v>
      </c>
      <c r="BI112" s="62">
        <f ca="1">AVERAGE(OFFSET($BH$3,0,0,'Données projet'!$E$11+1,1))-AVERAGE(OFFSET($H$3,0,0,'Données projet'!$E$11+1,1))</f>
        <v>220.70608186257931</v>
      </c>
      <c r="BJ112" s="62">
        <f t="shared" si="92"/>
        <v>208.79744153433245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3.974358974358978</v>
      </c>
      <c r="BY112" s="13">
        <f>IF('Données projet'!$A$114&gt;35,BY111+BX112-CG111,IF(A112&lt;'Données projet'!$A$114,$BV$205^A112,IF(A112='Données projet'!$A$114,'Données projet'!$B$114,BY111+BX112-CG111)))</f>
        <v>419.7435897435895</v>
      </c>
      <c r="BZ112" s="14">
        <f>BY112*VLOOKUP('Données projet'!$B$12,Paramètres!$A$1:$I$89,3,0)*VLOOKUP('Données projet'!$B$12,Paramètres!$A$1:$I$89,5,0)</f>
        <v>281.56399999999985</v>
      </c>
      <c r="CA112" s="14">
        <f t="shared" si="93"/>
        <v>67.297419815796616</v>
      </c>
      <c r="CB112" s="22">
        <f t="shared" si="64"/>
        <v>607.6003061791788</v>
      </c>
      <c r="CC112" s="62">
        <f t="shared" si="65"/>
        <v>900.93363951251217</v>
      </c>
      <c r="CD112" s="62">
        <f ca="1">AVERAGE(OFFSET($CC$3,0,0,'Données projet'!$E$12+1,1))-AVERAGE(OFFSET($H$3,0,0,'Données projet'!$E$12+1,1))</f>
        <v>310.47303518828346</v>
      </c>
      <c r="CE112" s="62">
        <f t="shared" si="94"/>
        <v>247.30353382335278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1.7053025658242404E-13</v>
      </c>
      <c r="O113" s="14">
        <f>N113*VLOOKUP('Données projet'!$B$9,Paramètres!$A$1:$I$89,3,0)*VLOOKUP('Données projet'!$B$9,Paramètres!$A$1:$I$89,5,0)</f>
        <v>1.4897523215040567E-13</v>
      </c>
      <c r="P113" s="14">
        <f t="shared" si="87"/>
        <v>2.136562777003313E-12</v>
      </c>
      <c r="Q113" s="22">
        <f t="shared" si="107"/>
        <v>3.9806453659427267E-12</v>
      </c>
      <c r="R113" s="62">
        <f t="shared" si="55"/>
        <v>293.33333333333729</v>
      </c>
      <c r="S113" s="62">
        <f ca="1">AVERAGE(OFFSET($R$3,0,0,'Données projet'!$E$9+1,1))-AVERAGE(OFFSET($H$3,0,0,'Données projet'!$E$9+1,1))</f>
        <v>285.16422150773082</v>
      </c>
      <c r="T113" s="62">
        <f t="shared" si="88"/>
        <v>448.96462312238845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360</v>
      </c>
      <c r="AG113" s="13">
        <f>VLOOKUP(A113,'Données projet'!$A$61:$I$81,9,0)</f>
        <v>5.4</v>
      </c>
      <c r="AH113" s="13">
        <f t="array" ref="AH113">INDEX(AG:AG,MIN(IF(ISNUMBER(AG113:AG309),ROW(AG113:AG309),"")))</f>
        <v>5.4</v>
      </c>
      <c r="AI113" s="14">
        <f>IF('Données projet'!$A$62&gt;35,AI112+AH113-AQ112,IF(A113&lt;'Données projet'!$A$62,$AF$205^A113,IF(A113='Données projet'!$A$62,'Données projet'!$B$62,AI112+AH113-AQ112)))</f>
        <v>359.99999999999966</v>
      </c>
      <c r="AJ113" s="14">
        <f>AI113*VLOOKUP('Données projet'!$B$10,Paramètres!$A$1:$I$89,3,0)*VLOOKUP('Données projet'!$B$10,Paramètres!$A$1:$I$89,5,0)</f>
        <v>325.72799999999967</v>
      </c>
      <c r="AK113" s="14">
        <f t="shared" si="89"/>
        <v>76.543942036893981</v>
      </c>
      <c r="AL113" s="22">
        <f t="shared" si="58"/>
        <v>700.62363238092303</v>
      </c>
      <c r="AM113" s="62">
        <f t="shared" si="59"/>
        <v>993.95696571425628</v>
      </c>
      <c r="AN113" s="62">
        <f ca="1">AVERAGE(OFFSET($AM$3,0,0,'Données projet'!$E$10+1,1))-AVERAGE(OFFSET($H$3,0,0,'Données projet'!$E$10+1,1))</f>
        <v>384.44848355636935</v>
      </c>
      <c r="AO113" s="62">
        <f t="shared" si="90"/>
        <v>203.5274665601915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53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8.8675733422860506E-14</v>
      </c>
      <c r="BF113" s="14">
        <f t="shared" si="91"/>
        <v>1.3509285393066301E-12</v>
      </c>
      <c r="BG113" s="22">
        <f t="shared" si="61"/>
        <v>2.5073107750038623E-12</v>
      </c>
      <c r="BH113" s="62">
        <f t="shared" si="62"/>
        <v>293.33333333333582</v>
      </c>
      <c r="BI113" s="62">
        <f ca="1">AVERAGE(OFFSET($BH$3,0,0,'Données projet'!$E$11+1,1))-AVERAGE(OFFSET($H$3,0,0,'Données projet'!$E$11+1,1))</f>
        <v>220.70608186257931</v>
      </c>
      <c r="BJ113" s="62">
        <f t="shared" si="92"/>
        <v>208.79744153433245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423.71794871794873</v>
      </c>
      <c r="BW113" s="13">
        <f>VLOOKUP(A113,'Données projet'!$A$113:$I$133,9,0)</f>
        <v>3.974358974358978</v>
      </c>
      <c r="BX113" s="13">
        <f t="array" ref="BX113">INDEX(BW:BW,MIN(IF(ISNUMBER(BW113:BW309),ROW(BW113:BW309),"")))</f>
        <v>3.974358974358978</v>
      </c>
      <c r="BY113" s="13">
        <f>IF('Données projet'!$A$114&gt;35,BY112+BX113-CG112,IF(A113&lt;'Données projet'!$A$114,$BV$205^A113,IF(A113='Données projet'!$A$114,'Données projet'!$B$114,BY112+BX113-CG112)))</f>
        <v>423.7179487179485</v>
      </c>
      <c r="BZ113" s="14">
        <f>BY113*VLOOKUP('Données projet'!$B$12,Paramètres!$A$1:$I$89,3,0)*VLOOKUP('Données projet'!$B$12,Paramètres!$A$1:$I$89,5,0)</f>
        <v>284.22999999999985</v>
      </c>
      <c r="CA113" s="14">
        <f t="shared" si="93"/>
        <v>67.860147895915873</v>
      </c>
      <c r="CB113" s="22">
        <f t="shared" si="64"/>
        <v>613.22367425205323</v>
      </c>
      <c r="CC113" s="62">
        <f t="shared" si="65"/>
        <v>906.5570075853866</v>
      </c>
      <c r="CD113" s="62">
        <f ca="1">AVERAGE(OFFSET($CC$3,0,0,'Données projet'!$E$12+1,1))-AVERAGE(OFFSET($H$3,0,0,'Données projet'!$E$12+1,1))</f>
        <v>310.47303518828346</v>
      </c>
      <c r="CE113" s="62">
        <f t="shared" si="94"/>
        <v>247.30353382335278</v>
      </c>
      <c r="CF113" s="16">
        <f>IF(ISNA(VLOOKUP(A113,'Données projet'!$A$113:$I$133,3,0)),0,VLOOKUP(A113,'Données projet'!$A$113:$I$133,3,0))</f>
        <v>10</v>
      </c>
      <c r="CG113" s="16">
        <f>IF(ISNA(VLOOKUP(A113,'Données projet'!$A$113:$I$133,4,0)),0,VLOOKUP(A113,'Données projet'!$A$113:$I$133,4,0))</f>
        <v>423.71794871794873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1.7053025658242404E-13</v>
      </c>
      <c r="O114" s="14">
        <f>N114*VLOOKUP('Données projet'!$B$9,Paramètres!$A$1:$I$89,3,0)*VLOOKUP('Données projet'!$B$9,Paramètres!$A$1:$I$89,5,0)</f>
        <v>1.4897523215040567E-13</v>
      </c>
      <c r="P114" s="14">
        <f t="shared" si="87"/>
        <v>2.136562777003313E-12</v>
      </c>
      <c r="Q114" s="22">
        <f t="shared" si="107"/>
        <v>3.9806453659427267E-12</v>
      </c>
      <c r="R114" s="62">
        <f t="shared" si="55"/>
        <v>293.33333333333729</v>
      </c>
      <c r="S114" s="62">
        <f ca="1">AVERAGE(OFFSET($R$3,0,0,'Données projet'!$E$9+1,1))-AVERAGE(OFFSET($H$3,0,0,'Données projet'!$E$9+1,1))</f>
        <v>285.16422150773082</v>
      </c>
      <c r="T114" s="62">
        <f t="shared" si="88"/>
        <v>448.96462312238845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</v>
      </c>
      <c r="AI114" s="14">
        <f>IF('Données projet'!$A$62&gt;35,AI113+AH114-AQ113,IF(A114&lt;'Données projet'!$A$62,$AF$205^A114,IF(A114='Données projet'!$A$62,'Données projet'!$B$62,AI113+AH114-AQ113)))</f>
        <v>311.49999999999966</v>
      </c>
      <c r="AJ114" s="14">
        <f>AI114*VLOOKUP('Données projet'!$B$10,Paramètres!$A$1:$I$89,3,0)*VLOOKUP('Données projet'!$B$10,Paramètres!$A$1:$I$89,5,0)</f>
        <v>281.84519999999969</v>
      </c>
      <c r="AK114" s="14">
        <f t="shared" si="89"/>
        <v>67.356803491560427</v>
      </c>
      <c r="AL114" s="22">
        <f t="shared" si="58"/>
        <v>608.19348941446708</v>
      </c>
      <c r="AM114" s="62">
        <f t="shared" si="59"/>
        <v>901.52682274780045</v>
      </c>
      <c r="AN114" s="62">
        <f ca="1">AVERAGE(OFFSET($AM$3,0,0,'Données projet'!$E$10+1,1))-AVERAGE(OFFSET($H$3,0,0,'Données projet'!$E$10+1,1))</f>
        <v>384.44848355636935</v>
      </c>
      <c r="AO114" s="62">
        <f t="shared" si="90"/>
        <v>203.5274665601915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8.8675733422860506E-14</v>
      </c>
      <c r="BF114" s="14">
        <f t="shared" si="91"/>
        <v>1.3509285393066301E-12</v>
      </c>
      <c r="BG114" s="22">
        <f t="shared" si="61"/>
        <v>2.5073107750038623E-12</v>
      </c>
      <c r="BH114" s="62">
        <f t="shared" si="62"/>
        <v>293.33333333333582</v>
      </c>
      <c r="BI114" s="62">
        <f ca="1">AVERAGE(OFFSET($BH$3,0,0,'Données projet'!$E$11+1,1))-AVERAGE(OFFSET($H$3,0,0,'Données projet'!$E$11+1,1))</f>
        <v>220.70608186257931</v>
      </c>
      <c r="BJ114" s="62">
        <f t="shared" si="92"/>
        <v>208.79744153433245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-1.5252226148732008E-13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310.47303518828346</v>
      </c>
      <c r="CE114" s="62">
        <f t="shared" si="94"/>
        <v>247.30353382335278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1.7053025658242404E-13</v>
      </c>
      <c r="O115" s="14">
        <f>N115*VLOOKUP('Données projet'!$B$9,Paramètres!$A$1:$I$89,3,0)*VLOOKUP('Données projet'!$B$9,Paramètres!$A$1:$I$89,5,0)</f>
        <v>1.4897523215040567E-13</v>
      </c>
      <c r="P115" s="14">
        <f t="shared" si="87"/>
        <v>2.136562777003313E-12</v>
      </c>
      <c r="Q115" s="22">
        <f t="shared" si="107"/>
        <v>3.9806453659427267E-12</v>
      </c>
      <c r="R115" s="62">
        <f t="shared" si="55"/>
        <v>293.33333333333729</v>
      </c>
      <c r="S115" s="62">
        <f ca="1">AVERAGE(OFFSET($R$3,0,0,'Données projet'!$E$9+1,1))-AVERAGE(OFFSET($H$3,0,0,'Données projet'!$E$9+1,1))</f>
        <v>285.16422150773082</v>
      </c>
      <c r="T115" s="62">
        <f t="shared" si="88"/>
        <v>448.96462312238845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</v>
      </c>
      <c r="AI115" s="14">
        <f>IF('Données projet'!$A$62&gt;35,AI114+AH115-AQ114,IF(A115&lt;'Données projet'!$A$62,$AF$205^A115,IF(A115='Données projet'!$A$62,'Données projet'!$B$62,AI114+AH115-AQ114)))</f>
        <v>315.99999999999966</v>
      </c>
      <c r="AJ115" s="14">
        <f>AI115*VLOOKUP('Données projet'!$B$10,Paramètres!$A$1:$I$89,3,0)*VLOOKUP('Données projet'!$B$10,Paramètres!$A$1:$I$89,5,0)</f>
        <v>285.91679999999968</v>
      </c>
      <c r="AK115" s="14">
        <f t="shared" si="89"/>
        <v>68.215872977287475</v>
      </c>
      <c r="AL115" s="22">
        <f t="shared" si="58"/>
        <v>616.7810721021084</v>
      </c>
      <c r="AM115" s="62">
        <f t="shared" si="59"/>
        <v>910.11440543544177</v>
      </c>
      <c r="AN115" s="62">
        <f ca="1">AVERAGE(OFFSET($AM$3,0,0,'Données projet'!$E$10+1,1))-AVERAGE(OFFSET($H$3,0,0,'Données projet'!$E$10+1,1))</f>
        <v>384.44848355636935</v>
      </c>
      <c r="AO115" s="62">
        <f t="shared" si="90"/>
        <v>203.5274665601915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8.8675733422860506E-14</v>
      </c>
      <c r="BF115" s="14">
        <f t="shared" si="91"/>
        <v>1.3509285393066301E-12</v>
      </c>
      <c r="BG115" s="22">
        <f t="shared" si="61"/>
        <v>2.5073107750038623E-12</v>
      </c>
      <c r="BH115" s="62">
        <f t="shared" si="62"/>
        <v>293.33333333333582</v>
      </c>
      <c r="BI115" s="62">
        <f ca="1">AVERAGE(OFFSET($BH$3,0,0,'Données projet'!$E$11+1,1))-AVERAGE(OFFSET($H$3,0,0,'Données projet'!$E$11+1,1))</f>
        <v>220.70608186257931</v>
      </c>
      <c r="BJ115" s="62">
        <f t="shared" si="92"/>
        <v>208.79744153433245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-1.5252226148732008E-13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310.47303518828346</v>
      </c>
      <c r="CE115" s="62">
        <f t="shared" si="94"/>
        <v>247.30353382335278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1.7053025658242404E-13</v>
      </c>
      <c r="O116" s="14">
        <f>N116*VLOOKUP('Données projet'!$B$9,Paramètres!$A$1:$I$89,3,0)*VLOOKUP('Données projet'!$B$9,Paramètres!$A$1:$I$89,5,0)</f>
        <v>1.4897523215040567E-13</v>
      </c>
      <c r="P116" s="14">
        <f t="shared" si="87"/>
        <v>2.136562777003313E-12</v>
      </c>
      <c r="Q116" s="22">
        <f t="shared" si="107"/>
        <v>3.9806453659427267E-12</v>
      </c>
      <c r="R116" s="62">
        <f t="shared" si="55"/>
        <v>293.33333333333729</v>
      </c>
      <c r="S116" s="62">
        <f ca="1">AVERAGE(OFFSET($R$3,0,0,'Données projet'!$E$9+1,1))-AVERAGE(OFFSET($H$3,0,0,'Données projet'!$E$9+1,1))</f>
        <v>285.16422150773082</v>
      </c>
      <c r="T116" s="62">
        <f t="shared" si="88"/>
        <v>448.96462312238845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</v>
      </c>
      <c r="AI116" s="14">
        <f>IF('Données projet'!$A$62&gt;35,AI115+AH116-AQ115,IF(A116&lt;'Données projet'!$A$62,$AF$205^A116,IF(A116='Données projet'!$A$62,'Données projet'!$B$62,AI115+AH116-AQ115)))</f>
        <v>320.49999999999966</v>
      </c>
      <c r="AJ116" s="14">
        <f>AI116*VLOOKUP('Données projet'!$B$10,Paramètres!$A$1:$I$89,3,0)*VLOOKUP('Données projet'!$B$10,Paramètres!$A$1:$I$89,5,0)</f>
        <v>289.98839999999967</v>
      </c>
      <c r="AK116" s="14">
        <f t="shared" si="89"/>
        <v>69.073519602481454</v>
      </c>
      <c r="AL116" s="22">
        <f t="shared" si="58"/>
        <v>625.36617664098787</v>
      </c>
      <c r="AM116" s="62">
        <f t="shared" si="59"/>
        <v>918.69950997432124</v>
      </c>
      <c r="AN116" s="62">
        <f ca="1">AVERAGE(OFFSET($AM$3,0,0,'Données projet'!$E$10+1,1))-AVERAGE(OFFSET($H$3,0,0,'Données projet'!$E$10+1,1))</f>
        <v>384.44848355636935</v>
      </c>
      <c r="AO116" s="62">
        <f t="shared" si="90"/>
        <v>203.5274665601915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8.8675733422860506E-14</v>
      </c>
      <c r="BF116" s="14">
        <f t="shared" si="91"/>
        <v>1.3509285393066301E-12</v>
      </c>
      <c r="BG116" s="22">
        <f t="shared" si="61"/>
        <v>2.5073107750038623E-12</v>
      </c>
      <c r="BH116" s="62">
        <f t="shared" si="62"/>
        <v>293.33333333333582</v>
      </c>
      <c r="BI116" s="62">
        <f ca="1">AVERAGE(OFFSET($BH$3,0,0,'Données projet'!$E$11+1,1))-AVERAGE(OFFSET($H$3,0,0,'Données projet'!$E$11+1,1))</f>
        <v>220.70608186257931</v>
      </c>
      <c r="BJ116" s="62">
        <f t="shared" si="92"/>
        <v>208.79744153433245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-1.5252226148732008E-13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310.47303518828346</v>
      </c>
      <c r="CE116" s="62">
        <f t="shared" si="94"/>
        <v>247.30353382335278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1.7053025658242404E-13</v>
      </c>
      <c r="O117" s="14">
        <f>N117*VLOOKUP('Données projet'!$B$9,Paramètres!$A$1:$I$89,3,0)*VLOOKUP('Données projet'!$B$9,Paramètres!$A$1:$I$89,5,0)</f>
        <v>1.4897523215040567E-13</v>
      </c>
      <c r="P117" s="14">
        <f t="shared" si="87"/>
        <v>2.136562777003313E-12</v>
      </c>
      <c r="Q117" s="22">
        <f t="shared" si="107"/>
        <v>3.9806453659427267E-12</v>
      </c>
      <c r="R117" s="62">
        <f t="shared" si="55"/>
        <v>293.33333333333729</v>
      </c>
      <c r="S117" s="62">
        <f ca="1">AVERAGE(OFFSET($R$3,0,0,'Données projet'!$E$9+1,1))-AVERAGE(OFFSET($H$3,0,0,'Données projet'!$E$9+1,1))</f>
        <v>285.16422150773082</v>
      </c>
      <c r="T117" s="62">
        <f t="shared" si="88"/>
        <v>448.96462312238845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</v>
      </c>
      <c r="AI117" s="14">
        <f>IF('Données projet'!$A$62&gt;35,AI116+AH117-AQ116,IF(A117&lt;'Données projet'!$A$62,$AF$205^A117,IF(A117='Données projet'!$A$62,'Données projet'!$B$62,AI116+AH117-AQ116)))</f>
        <v>324.99999999999966</v>
      </c>
      <c r="AJ117" s="14">
        <f>AI117*VLOOKUP('Données projet'!$B$10,Paramètres!$A$1:$I$89,3,0)*VLOOKUP('Données projet'!$B$10,Paramètres!$A$1:$I$89,5,0)</f>
        <v>294.05999999999972</v>
      </c>
      <c r="AK117" s="14">
        <f t="shared" si="89"/>
        <v>69.929765653573313</v>
      </c>
      <c r="AL117" s="22">
        <f t="shared" si="58"/>
        <v>633.94884184663977</v>
      </c>
      <c r="AM117" s="62">
        <f t="shared" si="59"/>
        <v>927.28217517997314</v>
      </c>
      <c r="AN117" s="62">
        <f ca="1">AVERAGE(OFFSET($AM$3,0,0,'Données projet'!$E$10+1,1))-AVERAGE(OFFSET($H$3,0,0,'Données projet'!$E$10+1,1))</f>
        <v>384.44848355636935</v>
      </c>
      <c r="AO117" s="62">
        <f t="shared" si="90"/>
        <v>203.5274665601915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8.8675733422860506E-14</v>
      </c>
      <c r="BF117" s="14">
        <f t="shared" si="91"/>
        <v>1.3509285393066301E-12</v>
      </c>
      <c r="BG117" s="22">
        <f t="shared" si="61"/>
        <v>2.5073107750038623E-12</v>
      </c>
      <c r="BH117" s="62">
        <f t="shared" si="62"/>
        <v>293.33333333333582</v>
      </c>
      <c r="BI117" s="62">
        <f ca="1">AVERAGE(OFFSET($BH$3,0,0,'Données projet'!$E$11+1,1))-AVERAGE(OFFSET($H$3,0,0,'Données projet'!$E$11+1,1))</f>
        <v>220.70608186257931</v>
      </c>
      <c r="BJ117" s="62">
        <f t="shared" si="92"/>
        <v>208.79744153433245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-1.5252226148732008E-13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310.47303518828346</v>
      </c>
      <c r="CE117" s="62">
        <f t="shared" si="94"/>
        <v>247.30353382335278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1.7053025658242404E-13</v>
      </c>
      <c r="O118" s="14">
        <f>N118*VLOOKUP('Données projet'!$B$9,Paramètres!$A$1:$I$89,3,0)*VLOOKUP('Données projet'!$B$9,Paramètres!$A$1:$I$89,5,0)</f>
        <v>1.4897523215040567E-13</v>
      </c>
      <c r="P118" s="14">
        <f t="shared" si="87"/>
        <v>2.136562777003313E-12</v>
      </c>
      <c r="Q118" s="22">
        <f t="shared" si="107"/>
        <v>3.9806453659427267E-12</v>
      </c>
      <c r="R118" s="62">
        <f t="shared" si="55"/>
        <v>293.33333333333729</v>
      </c>
      <c r="S118" s="62">
        <f ca="1">AVERAGE(OFFSET($R$3,0,0,'Données projet'!$E$9+1,1))-AVERAGE(OFFSET($H$3,0,0,'Données projet'!$E$9+1,1))</f>
        <v>285.16422150773082</v>
      </c>
      <c r="T118" s="62">
        <f t="shared" si="88"/>
        <v>448.96462312238845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4.5</v>
      </c>
      <c r="AI118" s="14">
        <f>IF('Données projet'!$A$62&gt;35,AI117+AH118-AQ117,IF(A118&lt;'Données projet'!$A$62,$AF$205^A118,IF(A118='Données projet'!$A$62,'Données projet'!$B$62,AI117+AH118-AQ117)))</f>
        <v>329.49999999999966</v>
      </c>
      <c r="AJ118" s="14">
        <f>AI118*VLOOKUP('Données projet'!$B$10,Paramètres!$A$1:$I$89,3,0)*VLOOKUP('Données projet'!$B$10,Paramètres!$A$1:$I$89,5,0)</f>
        <v>298.13159999999965</v>
      </c>
      <c r="AK118" s="14">
        <f t="shared" si="89"/>
        <v>70.784632764375971</v>
      </c>
      <c r="AL118" s="22">
        <f t="shared" si="58"/>
        <v>642.52910539795425</v>
      </c>
      <c r="AM118" s="62">
        <f t="shared" si="59"/>
        <v>935.86243873128751</v>
      </c>
      <c r="AN118" s="62">
        <f ca="1">AVERAGE(OFFSET($AM$3,0,0,'Données projet'!$E$10+1,1))-AVERAGE(OFFSET($H$3,0,0,'Données projet'!$E$10+1,1))</f>
        <v>384.44848355636935</v>
      </c>
      <c r="AO118" s="62">
        <f t="shared" si="90"/>
        <v>203.5274665601915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8.8675733422860506E-14</v>
      </c>
      <c r="BF118" s="14">
        <f t="shared" si="91"/>
        <v>1.3509285393066301E-12</v>
      </c>
      <c r="BG118" s="22">
        <f t="shared" si="61"/>
        <v>2.5073107750038623E-12</v>
      </c>
      <c r="BH118" s="62">
        <f t="shared" si="62"/>
        <v>293.33333333333582</v>
      </c>
      <c r="BI118" s="62">
        <f ca="1">AVERAGE(OFFSET($BH$3,0,0,'Données projet'!$E$11+1,1))-AVERAGE(OFFSET($H$3,0,0,'Données projet'!$E$11+1,1))</f>
        <v>220.70608186257931</v>
      </c>
      <c r="BJ118" s="62">
        <f t="shared" si="92"/>
        <v>208.79744153433245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-1.5252226148732008E-13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310.47303518828346</v>
      </c>
      <c r="CE118" s="62">
        <f t="shared" si="94"/>
        <v>247.30353382335278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1.7053025658242404E-13</v>
      </c>
      <c r="O119" s="14">
        <f>N119*VLOOKUP('Données projet'!$B$9,Paramètres!$A$1:$I$89,3,0)*VLOOKUP('Données projet'!$B$9,Paramètres!$A$1:$I$89,5,0)</f>
        <v>1.4897523215040567E-13</v>
      </c>
      <c r="P119" s="14">
        <f t="shared" si="87"/>
        <v>2.136562777003313E-12</v>
      </c>
      <c r="Q119" s="22">
        <f t="shared" si="107"/>
        <v>3.9806453659427267E-12</v>
      </c>
      <c r="R119" s="62">
        <f t="shared" si="55"/>
        <v>293.33333333333729</v>
      </c>
      <c r="S119" s="62">
        <f ca="1">AVERAGE(OFFSET($R$3,0,0,'Données projet'!$E$9+1,1))-AVERAGE(OFFSET($H$3,0,0,'Données projet'!$E$9+1,1))</f>
        <v>285.16422150773082</v>
      </c>
      <c r="T119" s="62">
        <f t="shared" si="88"/>
        <v>448.96462312238845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4.5</v>
      </c>
      <c r="AI119" s="14">
        <f>IF('Données projet'!$A$62&gt;35,AI118+AH119-AQ118,IF(A119&lt;'Données projet'!$A$62,$AF$205^A119,IF(A119='Données projet'!$A$62,'Données projet'!$B$62,AI118+AH119-AQ118)))</f>
        <v>333.99999999999966</v>
      </c>
      <c r="AJ119" s="14">
        <f>AI119*VLOOKUP('Données projet'!$B$10,Paramètres!$A$1:$I$89,3,0)*VLOOKUP('Données projet'!$B$10,Paramètres!$A$1:$I$89,5,0)</f>
        <v>302.2031999999997</v>
      </c>
      <c r="AK119" s="14">
        <f t="shared" si="89"/>
        <v>71.638141943842228</v>
      </c>
      <c r="AL119" s="22">
        <f t="shared" si="58"/>
        <v>651.1070038855247</v>
      </c>
      <c r="AM119" s="62">
        <f t="shared" si="59"/>
        <v>944.44033721885808</v>
      </c>
      <c r="AN119" s="62">
        <f ca="1">AVERAGE(OFFSET($AM$3,0,0,'Données projet'!$E$10+1,1))-AVERAGE(OFFSET($H$3,0,0,'Données projet'!$E$10+1,1))</f>
        <v>384.44848355636935</v>
      </c>
      <c r="AO119" s="62">
        <f t="shared" si="90"/>
        <v>203.5274665601915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8.8675733422860506E-14</v>
      </c>
      <c r="BF119" s="14">
        <f t="shared" si="91"/>
        <v>1.3509285393066301E-12</v>
      </c>
      <c r="BG119" s="22">
        <f t="shared" si="61"/>
        <v>2.5073107750038623E-12</v>
      </c>
      <c r="BH119" s="62">
        <f t="shared" si="62"/>
        <v>293.33333333333582</v>
      </c>
      <c r="BI119" s="62">
        <f ca="1">AVERAGE(OFFSET($BH$3,0,0,'Données projet'!$E$11+1,1))-AVERAGE(OFFSET($H$3,0,0,'Données projet'!$E$11+1,1))</f>
        <v>220.70608186257931</v>
      </c>
      <c r="BJ119" s="62">
        <f t="shared" si="92"/>
        <v>208.79744153433245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-1.5252226148732008E-13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310.47303518828346</v>
      </c>
      <c r="CE119" s="62">
        <f t="shared" si="94"/>
        <v>247.30353382335278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1.7053025658242404E-13</v>
      </c>
      <c r="O120" s="14">
        <f>N120*VLOOKUP('Données projet'!$B$9,Paramètres!$A$1:$I$89,3,0)*VLOOKUP('Données projet'!$B$9,Paramètres!$A$1:$I$89,5,0)</f>
        <v>1.4897523215040567E-13</v>
      </c>
      <c r="P120" s="14">
        <f t="shared" si="87"/>
        <v>2.136562777003313E-12</v>
      </c>
      <c r="Q120" s="22">
        <f t="shared" si="107"/>
        <v>3.9806453659427267E-12</v>
      </c>
      <c r="R120" s="62">
        <f t="shared" si="55"/>
        <v>293.33333333333729</v>
      </c>
      <c r="S120" s="62">
        <f ca="1">AVERAGE(OFFSET($R$3,0,0,'Données projet'!$E$9+1,1))-AVERAGE(OFFSET($H$3,0,0,'Données projet'!$E$9+1,1))</f>
        <v>285.16422150773082</v>
      </c>
      <c r="T120" s="62">
        <f t="shared" si="88"/>
        <v>448.96462312238845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4.5</v>
      </c>
      <c r="AI120" s="14">
        <f>IF('Données projet'!$A$62&gt;35,AI119+AH120-AQ119,IF(A120&lt;'Données projet'!$A$62,$AF$205^A120,IF(A120='Données projet'!$A$62,'Données projet'!$B$62,AI119+AH120-AQ119)))</f>
        <v>338.49999999999966</v>
      </c>
      <c r="AJ120" s="14">
        <f>AI120*VLOOKUP('Données projet'!$B$10,Paramètres!$A$1:$I$89,3,0)*VLOOKUP('Données projet'!$B$10,Paramètres!$A$1:$I$89,5,0)</f>
        <v>306.27479999999969</v>
      </c>
      <c r="AK120" s="14">
        <f t="shared" si="89"/>
        <v>72.490313602282981</v>
      </c>
      <c r="AL120" s="22">
        <f t="shared" si="58"/>
        <v>659.68257285730897</v>
      </c>
      <c r="AM120" s="62">
        <f t="shared" si="59"/>
        <v>953.01590619064223</v>
      </c>
      <c r="AN120" s="62">
        <f ca="1">AVERAGE(OFFSET($AM$3,0,0,'Données projet'!$E$10+1,1))-AVERAGE(OFFSET($H$3,0,0,'Données projet'!$E$10+1,1))</f>
        <v>384.44848355636935</v>
      </c>
      <c r="AO120" s="62">
        <f t="shared" si="90"/>
        <v>203.5274665601915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8.8675733422860506E-14</v>
      </c>
      <c r="BF120" s="14">
        <f t="shared" si="91"/>
        <v>1.3509285393066301E-12</v>
      </c>
      <c r="BG120" s="22">
        <f t="shared" si="61"/>
        <v>2.5073107750038623E-12</v>
      </c>
      <c r="BH120" s="62">
        <f t="shared" si="62"/>
        <v>293.33333333333582</v>
      </c>
      <c r="BI120" s="62">
        <f ca="1">AVERAGE(OFFSET($BH$3,0,0,'Données projet'!$E$11+1,1))-AVERAGE(OFFSET($H$3,0,0,'Données projet'!$E$11+1,1))</f>
        <v>220.70608186257931</v>
      </c>
      <c r="BJ120" s="62">
        <f t="shared" si="92"/>
        <v>208.79744153433245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-1.5252226148732008E-13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310.47303518828346</v>
      </c>
      <c r="CE120" s="62">
        <f t="shared" si="94"/>
        <v>247.30353382335278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1.7053025658242404E-13</v>
      </c>
      <c r="O121" s="14">
        <f>N121*VLOOKUP('Données projet'!$B$9,Paramètres!$A$1:$I$89,3,0)*VLOOKUP('Données projet'!$B$9,Paramètres!$A$1:$I$89,5,0)</f>
        <v>1.4897523215040567E-13</v>
      </c>
      <c r="P121" s="14">
        <f t="shared" si="87"/>
        <v>2.136562777003313E-12</v>
      </c>
      <c r="Q121" s="22">
        <f t="shared" si="107"/>
        <v>3.9806453659427267E-12</v>
      </c>
      <c r="R121" s="62">
        <f t="shared" si="55"/>
        <v>293.33333333333729</v>
      </c>
      <c r="S121" s="62">
        <f ca="1">AVERAGE(OFFSET($R$3,0,0,'Données projet'!$E$9+1,1))-AVERAGE(OFFSET($H$3,0,0,'Données projet'!$E$9+1,1))</f>
        <v>285.16422150773082</v>
      </c>
      <c r="T121" s="62">
        <f t="shared" si="88"/>
        <v>448.96462312238845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4.5</v>
      </c>
      <c r="AI121" s="14">
        <f>IF('Données projet'!$A$62&gt;35,AI120+AH121-AQ120,IF(A121&lt;'Données projet'!$A$62,$AF$205^A121,IF(A121='Données projet'!$A$62,'Données projet'!$B$62,AI120+AH121-AQ120)))</f>
        <v>342.99999999999966</v>
      </c>
      <c r="AJ121" s="14">
        <f>AI121*VLOOKUP('Données projet'!$B$10,Paramètres!$A$1:$I$89,3,0)*VLOOKUP('Données projet'!$B$10,Paramètres!$A$1:$I$89,5,0)</f>
        <v>310.34639999999968</v>
      </c>
      <c r="AK121" s="14">
        <f t="shared" si="89"/>
        <v>73.341167576152998</v>
      </c>
      <c r="AL121" s="22">
        <f t="shared" si="58"/>
        <v>668.25584686179923</v>
      </c>
      <c r="AM121" s="62">
        <f t="shared" si="59"/>
        <v>961.58918019513249</v>
      </c>
      <c r="AN121" s="62">
        <f ca="1">AVERAGE(OFFSET($AM$3,0,0,'Données projet'!$E$10+1,1))-AVERAGE(OFFSET($H$3,0,0,'Données projet'!$E$10+1,1))</f>
        <v>384.44848355636935</v>
      </c>
      <c r="AO121" s="62">
        <f t="shared" si="90"/>
        <v>203.5274665601915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8.8675733422860506E-14</v>
      </c>
      <c r="BF121" s="14">
        <f t="shared" si="91"/>
        <v>1.3509285393066301E-12</v>
      </c>
      <c r="BG121" s="22">
        <f t="shared" si="61"/>
        <v>2.5073107750038623E-12</v>
      </c>
      <c r="BH121" s="62">
        <f t="shared" si="62"/>
        <v>293.33333333333582</v>
      </c>
      <c r="BI121" s="62">
        <f ca="1">AVERAGE(OFFSET($BH$3,0,0,'Données projet'!$E$11+1,1))-AVERAGE(OFFSET($H$3,0,0,'Données projet'!$E$11+1,1))</f>
        <v>220.70608186257931</v>
      </c>
      <c r="BJ121" s="62">
        <f t="shared" si="92"/>
        <v>208.79744153433245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-1.5252226148732008E-13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310.47303518828346</v>
      </c>
      <c r="CE121" s="62">
        <f t="shared" si="94"/>
        <v>247.30353382335278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1.7053025658242404E-13</v>
      </c>
      <c r="O122" s="14">
        <f>N122*VLOOKUP('Données projet'!$B$9,Paramètres!$A$1:$I$89,3,0)*VLOOKUP('Données projet'!$B$9,Paramètres!$A$1:$I$89,5,0)</f>
        <v>1.4897523215040567E-13</v>
      </c>
      <c r="P122" s="14">
        <f t="shared" si="87"/>
        <v>2.136562777003313E-12</v>
      </c>
      <c r="Q122" s="22">
        <f t="shared" si="107"/>
        <v>3.9806453659427267E-12</v>
      </c>
      <c r="R122" s="62">
        <f t="shared" si="55"/>
        <v>293.33333333333729</v>
      </c>
      <c r="S122" s="62">
        <f ca="1">AVERAGE(OFFSET($R$3,0,0,'Données projet'!$E$9+1,1))-AVERAGE(OFFSET($H$3,0,0,'Données projet'!$E$9+1,1))</f>
        <v>285.16422150773082</v>
      </c>
      <c r="T122" s="62">
        <f t="shared" si="88"/>
        <v>448.96462312238845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4.5</v>
      </c>
      <c r="AI122" s="14">
        <f>IF('Données projet'!$A$62&gt;35,AI121+AH122-AQ121,IF(A122&lt;'Données projet'!$A$62,$AF$205^A122,IF(A122='Données projet'!$A$62,'Données projet'!$B$62,AI121+AH122-AQ121)))</f>
        <v>347.49999999999966</v>
      </c>
      <c r="AJ122" s="14">
        <f>AI122*VLOOKUP('Données projet'!$B$10,Paramètres!$A$1:$I$89,3,0)*VLOOKUP('Données projet'!$B$10,Paramètres!$A$1:$I$89,5,0)</f>
        <v>314.41799999999967</v>
      </c>
      <c r="AK122" s="14">
        <f t="shared" si="89"/>
        <v>74.190723151497266</v>
      </c>
      <c r="AL122" s="22">
        <f t="shared" si="58"/>
        <v>676.82685948885705</v>
      </c>
      <c r="AM122" s="62">
        <f t="shared" si="59"/>
        <v>970.16019282219031</v>
      </c>
      <c r="AN122" s="62">
        <f ca="1">AVERAGE(OFFSET($AM$3,0,0,'Données projet'!$E$10+1,1))-AVERAGE(OFFSET($H$3,0,0,'Données projet'!$E$10+1,1))</f>
        <v>384.44848355636935</v>
      </c>
      <c r="AO122" s="62">
        <f t="shared" si="90"/>
        <v>203.5274665601915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8.8675733422860506E-14</v>
      </c>
      <c r="BF122" s="14">
        <f t="shared" si="91"/>
        <v>1.3509285393066301E-12</v>
      </c>
      <c r="BG122" s="22">
        <f t="shared" si="61"/>
        <v>2.5073107750038623E-12</v>
      </c>
      <c r="BH122" s="62">
        <f t="shared" si="62"/>
        <v>293.33333333333582</v>
      </c>
      <c r="BI122" s="62">
        <f ca="1">AVERAGE(OFFSET($BH$3,0,0,'Données projet'!$E$11+1,1))-AVERAGE(OFFSET($H$3,0,0,'Données projet'!$E$11+1,1))</f>
        <v>220.70608186257931</v>
      </c>
      <c r="BJ122" s="62">
        <f t="shared" si="92"/>
        <v>208.79744153433245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-1.5252226148732008E-13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310.47303518828346</v>
      </c>
      <c r="CE122" s="62">
        <f t="shared" si="94"/>
        <v>247.30353382335278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1.7053025658242404E-13</v>
      </c>
      <c r="O123" s="14">
        <f>N123*VLOOKUP('Données projet'!$B$9,Paramètres!$A$1:$I$89,3,0)*VLOOKUP('Données projet'!$B$9,Paramètres!$A$1:$I$89,5,0)</f>
        <v>1.4897523215040567E-13</v>
      </c>
      <c r="P123" s="14">
        <f t="shared" si="87"/>
        <v>2.136562777003313E-12</v>
      </c>
      <c r="Q123" s="22">
        <f t="shared" si="107"/>
        <v>3.9806453659427267E-12</v>
      </c>
      <c r="R123" s="62">
        <f t="shared" si="55"/>
        <v>293.33333333333729</v>
      </c>
      <c r="S123" s="62">
        <f ca="1">AVERAGE(OFFSET($R$3,0,0,'Données projet'!$E$9+1,1))-AVERAGE(OFFSET($H$3,0,0,'Données projet'!$E$9+1,1))</f>
        <v>285.16422150773082</v>
      </c>
      <c r="T123" s="62">
        <f t="shared" si="88"/>
        <v>448.96462312238845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352</v>
      </c>
      <c r="AG123" s="13">
        <f>VLOOKUP(A123,'Données projet'!$A$61:$I$81,9,0)</f>
        <v>4.5</v>
      </c>
      <c r="AH123" s="13">
        <f t="array" ref="AH123">INDEX(AG:AG,MIN(IF(ISNUMBER(AG123:AG319),ROW(AG123:AG319),"")))</f>
        <v>4.5</v>
      </c>
      <c r="AI123" s="14">
        <f>IF('Données projet'!$A$62&gt;35,AI122+AH123-AQ122,IF(A123&lt;'Données projet'!$A$62,$AF$205^A123,IF(A123='Données projet'!$A$62,'Données projet'!$B$62,AI122+AH123-AQ122)))</f>
        <v>351.99999999999966</v>
      </c>
      <c r="AJ123" s="14">
        <f>AI123*VLOOKUP('Données projet'!$B$10,Paramètres!$A$1:$I$89,3,0)*VLOOKUP('Données projet'!$B$10,Paramètres!$A$1:$I$89,5,0)</f>
        <v>318.48959999999971</v>
      </c>
      <c r="AK123" s="14">
        <f t="shared" si="89"/>
        <v>75.038999086150227</v>
      </c>
      <c r="AL123" s="22">
        <f t="shared" si="58"/>
        <v>685.39564340837785</v>
      </c>
      <c r="AM123" s="62">
        <f t="shared" si="59"/>
        <v>978.72897674171122</v>
      </c>
      <c r="AN123" s="62">
        <f ca="1">AVERAGE(OFFSET($AM$3,0,0,'Données projet'!$E$10+1,1))-AVERAGE(OFFSET($H$3,0,0,'Données projet'!$E$10+1,1))</f>
        <v>384.44848355636935</v>
      </c>
      <c r="AO123" s="62">
        <f t="shared" si="90"/>
        <v>203.5274665601915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47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8.8675733422860506E-14</v>
      </c>
      <c r="BF123" s="14">
        <f t="shared" si="91"/>
        <v>1.3509285393066301E-12</v>
      </c>
      <c r="BG123" s="22">
        <f t="shared" si="61"/>
        <v>2.5073107750038623E-12</v>
      </c>
      <c r="BH123" s="62">
        <f t="shared" si="62"/>
        <v>293.33333333333582</v>
      </c>
      <c r="BI123" s="62">
        <f ca="1">AVERAGE(OFFSET($BH$3,0,0,'Données projet'!$E$11+1,1))-AVERAGE(OFFSET($H$3,0,0,'Données projet'!$E$11+1,1))</f>
        <v>220.70608186257931</v>
      </c>
      <c r="BJ123" s="62">
        <f t="shared" si="92"/>
        <v>208.79744153433245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-1.5252226148732008E-13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310.47303518828346</v>
      </c>
      <c r="CE123" s="62">
        <f t="shared" si="94"/>
        <v>247.30353382335278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1.4897523215040567E-13</v>
      </c>
      <c r="P124" s="14">
        <f t="shared" si="87"/>
        <v>2.136562777003313E-12</v>
      </c>
      <c r="Q124" s="22">
        <f t="shared" si="107"/>
        <v>3.9806453659427267E-12</v>
      </c>
      <c r="R124" s="62">
        <f t="shared" si="55"/>
        <v>293.33333333333729</v>
      </c>
      <c r="S124" s="62">
        <f ca="1">AVERAGE(OFFSET($R$3,0,0,'Données projet'!$E$9+1,1))-AVERAGE(OFFSET($H$3,0,0,'Données projet'!$E$9+1,1))</f>
        <v>285.16422150773082</v>
      </c>
      <c r="T124" s="62">
        <f t="shared" si="88"/>
        <v>448.96462312238845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309.19999999999965</v>
      </c>
      <c r="AJ124" s="14">
        <f>AI124*VLOOKUP('Données projet'!$B$10,Paramètres!$A$1:$I$89,3,0)*VLOOKUP('Données projet'!$B$10,Paramètres!$A$1:$I$89,5,0)</f>
        <v>279.76415999999966</v>
      </c>
      <c r="AK124" s="14">
        <f t="shared" si="89"/>
        <v>66.917166665547271</v>
      </c>
      <c r="AL124" s="22">
        <f t="shared" si="58"/>
        <v>603.8033106091608</v>
      </c>
      <c r="AM124" s="62">
        <f t="shared" si="59"/>
        <v>897.13664394249417</v>
      </c>
      <c r="AN124" s="62">
        <f ca="1">AVERAGE(OFFSET($AM$3,0,0,'Données projet'!$E$10+1,1))-AVERAGE(OFFSET($H$3,0,0,'Données projet'!$E$10+1,1))</f>
        <v>384.44848355636935</v>
      </c>
      <c r="AO124" s="62">
        <f t="shared" si="90"/>
        <v>203.5274665601915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8.8675733422860506E-14</v>
      </c>
      <c r="BF124" s="14">
        <f t="shared" si="91"/>
        <v>1.3509285393066301E-12</v>
      </c>
      <c r="BG124" s="22">
        <f t="shared" si="61"/>
        <v>2.5073107750038623E-12</v>
      </c>
      <c r="BH124" s="62">
        <f t="shared" si="62"/>
        <v>293.33333333333582</v>
      </c>
      <c r="BI124" s="62">
        <f ca="1">AVERAGE(OFFSET($BH$3,0,0,'Données projet'!$E$11+1,1))-AVERAGE(OFFSET($H$3,0,0,'Données projet'!$E$11+1,1))</f>
        <v>220.70608186257931</v>
      </c>
      <c r="BJ124" s="62">
        <f t="shared" si="92"/>
        <v>208.79744153433245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-1.5252226148732008E-13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310.47303518828346</v>
      </c>
      <c r="CE124" s="62">
        <f t="shared" si="94"/>
        <v>247.30353382335278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1.4897523215040567E-13</v>
      </c>
      <c r="P125" s="14">
        <f t="shared" si="87"/>
        <v>2.136562777003313E-12</v>
      </c>
      <c r="Q125" s="22">
        <f t="shared" si="107"/>
        <v>3.9806453659427267E-12</v>
      </c>
      <c r="R125" s="62">
        <f t="shared" si="55"/>
        <v>293.33333333333729</v>
      </c>
      <c r="S125" s="62">
        <f ca="1">AVERAGE(OFFSET($R$3,0,0,'Données projet'!$E$9+1,1))-AVERAGE(OFFSET($H$3,0,0,'Données projet'!$E$9+1,1))</f>
        <v>285.16422150773082</v>
      </c>
      <c r="T125" s="62">
        <f t="shared" si="88"/>
        <v>448.96462312238845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313.39999999999964</v>
      </c>
      <c r="AJ125" s="14">
        <f>AI125*VLOOKUP('Données projet'!$B$10,Paramètres!$A$1:$I$89,3,0)*VLOOKUP('Données projet'!$B$10,Paramètres!$A$1:$I$89,5,0)</f>
        <v>283.56431999999967</v>
      </c>
      <c r="AK125" s="14">
        <f t="shared" si="89"/>
        <v>67.71969673023186</v>
      </c>
      <c r="AL125" s="22">
        <f t="shared" si="58"/>
        <v>611.81966247181992</v>
      </c>
      <c r="AM125" s="62">
        <f t="shared" si="59"/>
        <v>905.1529958051533</v>
      </c>
      <c r="AN125" s="62">
        <f ca="1">AVERAGE(OFFSET($AM$3,0,0,'Données projet'!$E$10+1,1))-AVERAGE(OFFSET($H$3,0,0,'Données projet'!$E$10+1,1))</f>
        <v>384.44848355636935</v>
      </c>
      <c r="AO125" s="62">
        <f t="shared" si="90"/>
        <v>203.5274665601915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8.8675733422860506E-14</v>
      </c>
      <c r="BF125" s="14">
        <f t="shared" si="91"/>
        <v>1.3509285393066301E-12</v>
      </c>
      <c r="BG125" s="22">
        <f t="shared" si="61"/>
        <v>2.5073107750038623E-12</v>
      </c>
      <c r="BH125" s="62">
        <f t="shared" si="62"/>
        <v>293.33333333333582</v>
      </c>
      <c r="BI125" s="62">
        <f ca="1">AVERAGE(OFFSET($BH$3,0,0,'Données projet'!$E$11+1,1))-AVERAGE(OFFSET($H$3,0,0,'Données projet'!$E$11+1,1))</f>
        <v>220.70608186257931</v>
      </c>
      <c r="BJ125" s="62">
        <f t="shared" si="92"/>
        <v>208.79744153433245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-1.5252226148732008E-13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310.47303518828346</v>
      </c>
      <c r="CE125" s="62">
        <f t="shared" si="94"/>
        <v>247.30353382335278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1.4897523215040567E-13</v>
      </c>
      <c r="P126" s="14">
        <f t="shared" si="87"/>
        <v>2.136562777003313E-12</v>
      </c>
      <c r="Q126" s="22">
        <f t="shared" si="107"/>
        <v>3.9806453659427267E-12</v>
      </c>
      <c r="R126" s="62">
        <f t="shared" si="55"/>
        <v>293.33333333333729</v>
      </c>
      <c r="S126" s="62">
        <f ca="1">AVERAGE(OFFSET($R$3,0,0,'Données projet'!$E$9+1,1))-AVERAGE(OFFSET($H$3,0,0,'Données projet'!$E$9+1,1))</f>
        <v>285.16422150773082</v>
      </c>
      <c r="T126" s="62">
        <f t="shared" si="88"/>
        <v>448.96462312238845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317.59999999999962</v>
      </c>
      <c r="AJ126" s="14">
        <f>AI126*VLOOKUP('Données projet'!$B$10,Paramètres!$A$1:$I$89,3,0)*VLOOKUP('Données projet'!$B$10,Paramètres!$A$1:$I$89,5,0)</f>
        <v>287.36447999999967</v>
      </c>
      <c r="AK126" s="14">
        <f t="shared" si="89"/>
        <v>68.52097584579333</v>
      </c>
      <c r="AL126" s="22">
        <f t="shared" si="58"/>
        <v>619.83383559808942</v>
      </c>
      <c r="AM126" s="62">
        <f t="shared" si="59"/>
        <v>913.16716893142279</v>
      </c>
      <c r="AN126" s="62">
        <f ca="1">AVERAGE(OFFSET($AM$3,0,0,'Données projet'!$E$10+1,1))-AVERAGE(OFFSET($H$3,0,0,'Données projet'!$E$10+1,1))</f>
        <v>384.44848355636935</v>
      </c>
      <c r="AO126" s="62">
        <f t="shared" si="90"/>
        <v>203.5274665601915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8.8675733422860506E-14</v>
      </c>
      <c r="BF126" s="14">
        <f t="shared" si="91"/>
        <v>1.3509285393066301E-12</v>
      </c>
      <c r="BG126" s="22">
        <f t="shared" si="61"/>
        <v>2.5073107750038623E-12</v>
      </c>
      <c r="BH126" s="62">
        <f t="shared" si="62"/>
        <v>293.33333333333582</v>
      </c>
      <c r="BI126" s="62">
        <f ca="1">AVERAGE(OFFSET($BH$3,0,0,'Données projet'!$E$11+1,1))-AVERAGE(OFFSET($H$3,0,0,'Données projet'!$E$11+1,1))</f>
        <v>220.70608186257931</v>
      </c>
      <c r="BJ126" s="62">
        <f t="shared" si="92"/>
        <v>208.79744153433245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-1.5252226148732008E-13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310.47303518828346</v>
      </c>
      <c r="CE126" s="62">
        <f t="shared" si="94"/>
        <v>247.30353382335278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1.4897523215040567E-13</v>
      </c>
      <c r="P127" s="14">
        <f t="shared" si="87"/>
        <v>2.136562777003313E-12</v>
      </c>
      <c r="Q127" s="22">
        <f t="shared" si="107"/>
        <v>3.9806453659427267E-12</v>
      </c>
      <c r="R127" s="62">
        <f t="shared" si="55"/>
        <v>293.33333333333729</v>
      </c>
      <c r="S127" s="62">
        <f ca="1">AVERAGE(OFFSET($R$3,0,0,'Données projet'!$E$9+1,1))-AVERAGE(OFFSET($H$3,0,0,'Données projet'!$E$9+1,1))</f>
        <v>285.16422150773082</v>
      </c>
      <c r="T127" s="62">
        <f t="shared" si="88"/>
        <v>448.96462312238845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321.79999999999961</v>
      </c>
      <c r="AJ127" s="14">
        <f>AI127*VLOOKUP('Données projet'!$B$10,Paramètres!$A$1:$I$89,3,0)*VLOOKUP('Données projet'!$B$10,Paramètres!$A$1:$I$89,5,0)</f>
        <v>291.16463999999962</v>
      </c>
      <c r="AK127" s="14">
        <f t="shared" si="89"/>
        <v>69.321022467464573</v>
      </c>
      <c r="AL127" s="22">
        <f t="shared" si="58"/>
        <v>627.84586213083344</v>
      </c>
      <c r="AM127" s="62">
        <f t="shared" si="59"/>
        <v>921.1791954641667</v>
      </c>
      <c r="AN127" s="62">
        <f ca="1">AVERAGE(OFFSET($AM$3,0,0,'Données projet'!$E$10+1,1))-AVERAGE(OFFSET($H$3,0,0,'Données projet'!$E$10+1,1))</f>
        <v>384.44848355636935</v>
      </c>
      <c r="AO127" s="62">
        <f t="shared" si="90"/>
        <v>203.5274665601915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8.8675733422860506E-14</v>
      </c>
      <c r="BF127" s="14">
        <f t="shared" si="91"/>
        <v>1.3509285393066301E-12</v>
      </c>
      <c r="BG127" s="22">
        <f t="shared" si="61"/>
        <v>2.5073107750038623E-12</v>
      </c>
      <c r="BH127" s="62">
        <f t="shared" si="62"/>
        <v>293.33333333333582</v>
      </c>
      <c r="BI127" s="62">
        <f ca="1">AVERAGE(OFFSET($BH$3,0,0,'Données projet'!$E$11+1,1))-AVERAGE(OFFSET($H$3,0,0,'Données projet'!$E$11+1,1))</f>
        <v>220.70608186257931</v>
      </c>
      <c r="BJ127" s="62">
        <f t="shared" si="92"/>
        <v>208.79744153433245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-1.5252226148732008E-13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310.47303518828346</v>
      </c>
      <c r="CE127" s="62">
        <f t="shared" si="94"/>
        <v>247.30353382335278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1.4897523215040567E-13</v>
      </c>
      <c r="P128" s="14">
        <f t="shared" si="87"/>
        <v>2.136562777003313E-12</v>
      </c>
      <c r="Q128" s="22">
        <f t="shared" si="107"/>
        <v>3.9806453659427267E-12</v>
      </c>
      <c r="R128" s="62">
        <f t="shared" si="55"/>
        <v>293.33333333333729</v>
      </c>
      <c r="S128" s="62">
        <f ca="1">AVERAGE(OFFSET($R$3,0,0,'Données projet'!$E$9+1,1))-AVERAGE(OFFSET($H$3,0,0,'Données projet'!$E$9+1,1))</f>
        <v>285.16422150773082</v>
      </c>
      <c r="T128" s="62">
        <f t="shared" si="88"/>
        <v>448.96462312238845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325.9999999999996</v>
      </c>
      <c r="AJ128" s="14">
        <f>AI128*VLOOKUP('Données projet'!$B$10,Paramètres!$A$1:$I$89,3,0)*VLOOKUP('Données projet'!$B$10,Paramètres!$A$1:$I$89,5,0)</f>
        <v>294.96479999999963</v>
      </c>
      <c r="AK128" s="14">
        <f t="shared" si="89"/>
        <v>70.119854541045001</v>
      </c>
      <c r="AL128" s="22">
        <f t="shared" si="58"/>
        <v>635.85577332565276</v>
      </c>
      <c r="AM128" s="62">
        <f t="shared" si="59"/>
        <v>929.18910665898602</v>
      </c>
      <c r="AN128" s="62">
        <f ca="1">AVERAGE(OFFSET($AM$3,0,0,'Données projet'!$E$10+1,1))-AVERAGE(OFFSET($H$3,0,0,'Données projet'!$E$10+1,1))</f>
        <v>384.44848355636935</v>
      </c>
      <c r="AO128" s="62">
        <f t="shared" si="90"/>
        <v>203.5274665601915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8.8675733422860506E-14</v>
      </c>
      <c r="BF128" s="14">
        <f t="shared" si="91"/>
        <v>1.3509285393066301E-12</v>
      </c>
      <c r="BG128" s="22">
        <f t="shared" si="61"/>
        <v>2.5073107750038623E-12</v>
      </c>
      <c r="BH128" s="62">
        <f t="shared" si="62"/>
        <v>293.33333333333582</v>
      </c>
      <c r="BI128" s="62">
        <f ca="1">AVERAGE(OFFSET($BH$3,0,0,'Données projet'!$E$11+1,1))-AVERAGE(OFFSET($H$3,0,0,'Données projet'!$E$11+1,1))</f>
        <v>220.70608186257931</v>
      </c>
      <c r="BJ128" s="62">
        <f t="shared" si="92"/>
        <v>208.79744153433245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-1.5252226148732008E-13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310.47303518828346</v>
      </c>
      <c r="CE128" s="62">
        <f t="shared" si="94"/>
        <v>247.30353382335278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1.4897523215040567E-13</v>
      </c>
      <c r="P129" s="14">
        <f t="shared" si="87"/>
        <v>2.136562777003313E-12</v>
      </c>
      <c r="Q129" s="22">
        <f t="shared" si="107"/>
        <v>3.9806453659427267E-12</v>
      </c>
      <c r="R129" s="62">
        <f t="shared" si="55"/>
        <v>293.33333333333729</v>
      </c>
      <c r="S129" s="62">
        <f ca="1">AVERAGE(OFFSET($R$3,0,0,'Données projet'!$E$9+1,1))-AVERAGE(OFFSET($H$3,0,0,'Données projet'!$E$9+1,1))</f>
        <v>285.16422150773082</v>
      </c>
      <c r="T129" s="62">
        <f t="shared" si="88"/>
        <v>448.96462312238845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4.2</v>
      </c>
      <c r="AI129" s="14">
        <f>IF('Données projet'!$A$62&gt;35,AI128+AH129-AQ128,IF(A129&lt;'Données projet'!$A$62,$AF$205^A129,IF(A129='Données projet'!$A$62,'Données projet'!$B$62,AI128+AH129-AQ128)))</f>
        <v>330.19999999999959</v>
      </c>
      <c r="AJ129" s="14">
        <f>AI129*VLOOKUP('Données projet'!$B$10,Paramètres!$A$1:$I$89,3,0)*VLOOKUP('Données projet'!$B$10,Paramètres!$A$1:$I$89,5,0)</f>
        <v>298.76495999999958</v>
      </c>
      <c r="AK129" s="14">
        <f t="shared" si="89"/>
        <v>70.917489523341189</v>
      </c>
      <c r="AL129" s="22">
        <f t="shared" si="58"/>
        <v>643.86359958648518</v>
      </c>
      <c r="AM129" s="62">
        <f t="shared" si="59"/>
        <v>937.19693291981844</v>
      </c>
      <c r="AN129" s="62">
        <f ca="1">AVERAGE(OFFSET($AM$3,0,0,'Données projet'!$E$10+1,1))-AVERAGE(OFFSET($H$3,0,0,'Données projet'!$E$10+1,1))</f>
        <v>384.44848355636935</v>
      </c>
      <c r="AO129" s="62">
        <f t="shared" si="90"/>
        <v>203.5274665601915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8.8675733422860506E-14</v>
      </c>
      <c r="BF129" s="14">
        <f t="shared" si="91"/>
        <v>1.3509285393066301E-12</v>
      </c>
      <c r="BG129" s="22">
        <f t="shared" si="61"/>
        <v>2.5073107750038623E-12</v>
      </c>
      <c r="BH129" s="62">
        <f t="shared" si="62"/>
        <v>293.33333333333582</v>
      </c>
      <c r="BI129" s="62">
        <f ca="1">AVERAGE(OFFSET($BH$3,0,0,'Données projet'!$E$11+1,1))-AVERAGE(OFFSET($H$3,0,0,'Données projet'!$E$11+1,1))</f>
        <v>220.70608186257931</v>
      </c>
      <c r="BJ129" s="62">
        <f t="shared" si="92"/>
        <v>208.79744153433245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-1.5252226148732008E-13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310.47303518828346</v>
      </c>
      <c r="CE129" s="62">
        <f t="shared" si="94"/>
        <v>247.30353382335278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1.4897523215040567E-13</v>
      </c>
      <c r="P130" s="14">
        <f t="shared" si="87"/>
        <v>2.136562777003313E-12</v>
      </c>
      <c r="Q130" s="22">
        <f t="shared" si="107"/>
        <v>3.9806453659427267E-12</v>
      </c>
      <c r="R130" s="62">
        <f t="shared" si="55"/>
        <v>293.33333333333729</v>
      </c>
      <c r="S130" s="62">
        <f ca="1">AVERAGE(OFFSET($R$3,0,0,'Données projet'!$E$9+1,1))-AVERAGE(OFFSET($H$3,0,0,'Données projet'!$E$9+1,1))</f>
        <v>285.16422150773082</v>
      </c>
      <c r="T130" s="62">
        <f t="shared" si="88"/>
        <v>448.96462312238845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4.2</v>
      </c>
      <c r="AI130" s="14">
        <f>IF('Données projet'!$A$62&gt;35,AI129+AH130-AQ129,IF(A130&lt;'Données projet'!$A$62,$AF$205^A130,IF(A130='Données projet'!$A$62,'Données projet'!$B$62,AI129+AH130-AQ129)))</f>
        <v>334.39999999999958</v>
      </c>
      <c r="AJ130" s="14">
        <f>AI130*VLOOKUP('Données projet'!$B$10,Paramètres!$A$1:$I$89,3,0)*VLOOKUP('Données projet'!$B$10,Paramètres!$A$1:$I$89,5,0)</f>
        <v>302.56511999999958</v>
      </c>
      <c r="AK130" s="14">
        <f t="shared" si="89"/>
        <v>71.713944401538271</v>
      </c>
      <c r="AL130" s="22">
        <f t="shared" si="58"/>
        <v>651.86937049934511</v>
      </c>
      <c r="AM130" s="62">
        <f t="shared" si="59"/>
        <v>945.20270383267848</v>
      </c>
      <c r="AN130" s="62">
        <f ca="1">AVERAGE(OFFSET($AM$3,0,0,'Données projet'!$E$10+1,1))-AVERAGE(OFFSET($H$3,0,0,'Données projet'!$E$10+1,1))</f>
        <v>384.44848355636935</v>
      </c>
      <c r="AO130" s="62">
        <f t="shared" si="90"/>
        <v>203.5274665601915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8.8675733422860506E-14</v>
      </c>
      <c r="BF130" s="14">
        <f t="shared" si="91"/>
        <v>1.3509285393066301E-12</v>
      </c>
      <c r="BG130" s="22">
        <f t="shared" si="61"/>
        <v>2.5073107750038623E-12</v>
      </c>
      <c r="BH130" s="62">
        <f t="shared" si="62"/>
        <v>293.33333333333582</v>
      </c>
      <c r="BI130" s="62">
        <f ca="1">AVERAGE(OFFSET($BH$3,0,0,'Données projet'!$E$11+1,1))-AVERAGE(OFFSET($H$3,0,0,'Données projet'!$E$11+1,1))</f>
        <v>220.70608186257931</v>
      </c>
      <c r="BJ130" s="62">
        <f t="shared" si="92"/>
        <v>208.79744153433245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-1.5252226148732008E-13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310.47303518828346</v>
      </c>
      <c r="CE130" s="62">
        <f t="shared" si="94"/>
        <v>247.30353382335278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1.4897523215040567E-13</v>
      </c>
      <c r="P131" s="14">
        <f t="shared" si="87"/>
        <v>2.136562777003313E-12</v>
      </c>
      <c r="Q131" s="22">
        <f t="shared" ref="Q131:Q153" si="108">(O131+P131)*0.475*44/12</f>
        <v>3.9806453659427267E-12</v>
      </c>
      <c r="R131" s="62">
        <f t="shared" ref="R131:R194" si="109">Q131+(I131+J131)*44/12</f>
        <v>293.33333333333729</v>
      </c>
      <c r="S131" s="62">
        <f ca="1">AVERAGE(OFFSET($R$3,0,0,'Données projet'!$E$9+1,1))-AVERAGE(OFFSET($H$3,0,0,'Données projet'!$E$9+1,1))</f>
        <v>285.16422150773082</v>
      </c>
      <c r="T131" s="62">
        <f t="shared" si="88"/>
        <v>448.96462312238845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4.2</v>
      </c>
      <c r="AI131" s="14">
        <f>IF('Données projet'!$A$62&gt;35,AI130+AH131-AQ130,IF(A131&lt;'Données projet'!$A$62,$AF$205^A131,IF(A131='Données projet'!$A$62,'Données projet'!$B$62,AI130+AH131-AQ130)))</f>
        <v>338.59999999999957</v>
      </c>
      <c r="AJ131" s="14">
        <f>AI131*VLOOKUP('Données projet'!$B$10,Paramètres!$A$1:$I$89,3,0)*VLOOKUP('Données projet'!$B$10,Paramètres!$A$1:$I$89,5,0)</f>
        <v>306.36527999999964</v>
      </c>
      <c r="AK131" s="14">
        <f t="shared" si="89"/>
        <v>72.509235711569417</v>
      </c>
      <c r="AL131" s="22">
        <f t="shared" si="58"/>
        <v>659.87311486431611</v>
      </c>
      <c r="AM131" s="62">
        <f t="shared" si="59"/>
        <v>953.20644819764948</v>
      </c>
      <c r="AN131" s="62">
        <f ca="1">AVERAGE(OFFSET($AM$3,0,0,'Données projet'!$E$10+1,1))-AVERAGE(OFFSET($H$3,0,0,'Données projet'!$E$10+1,1))</f>
        <v>384.44848355636935</v>
      </c>
      <c r="AO131" s="62">
        <f t="shared" si="90"/>
        <v>203.5274665601915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8.8675733422860506E-14</v>
      </c>
      <c r="BF131" s="14">
        <f t="shared" si="91"/>
        <v>1.3509285393066301E-12</v>
      </c>
      <c r="BG131" s="22">
        <f t="shared" si="61"/>
        <v>2.5073107750038623E-12</v>
      </c>
      <c r="BH131" s="62">
        <f t="shared" si="62"/>
        <v>293.33333333333582</v>
      </c>
      <c r="BI131" s="62">
        <f ca="1">AVERAGE(OFFSET($BH$3,0,0,'Données projet'!$E$11+1,1))-AVERAGE(OFFSET($H$3,0,0,'Données projet'!$E$11+1,1))</f>
        <v>220.70608186257931</v>
      </c>
      <c r="BJ131" s="62">
        <f t="shared" si="92"/>
        <v>208.79744153433245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-1.5252226148732008E-13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310.47303518828346</v>
      </c>
      <c r="CE131" s="62">
        <f t="shared" si="94"/>
        <v>247.30353382335278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1.4897523215040567E-13</v>
      </c>
      <c r="P132" s="14">
        <f t="shared" si="87"/>
        <v>2.136562777003313E-12</v>
      </c>
      <c r="Q132" s="22">
        <f t="shared" si="108"/>
        <v>3.9806453659427267E-12</v>
      </c>
      <c r="R132" s="62">
        <f t="shared" si="109"/>
        <v>293.33333333333729</v>
      </c>
      <c r="S132" s="62">
        <f ca="1">AVERAGE(OFFSET($R$3,0,0,'Données projet'!$E$9+1,1))-AVERAGE(OFFSET($H$3,0,0,'Données projet'!$E$9+1,1))</f>
        <v>285.16422150773082</v>
      </c>
      <c r="T132" s="62">
        <f t="shared" si="88"/>
        <v>448.96462312238845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4.2</v>
      </c>
      <c r="AI132" s="14">
        <f>IF('Données projet'!$A$62&gt;35,AI131+AH132-AQ131,IF(A132&lt;'Données projet'!$A$62,$AF$205^A132,IF(A132='Données projet'!$A$62,'Données projet'!$B$62,AI131+AH132-AQ131)))</f>
        <v>342.79999999999956</v>
      </c>
      <c r="AJ132" s="14">
        <f>AI132*VLOOKUP('Données projet'!$B$10,Paramètres!$A$1:$I$89,3,0)*VLOOKUP('Données projet'!$B$10,Paramètres!$A$1:$I$89,5,0)</f>
        <v>310.16543999999959</v>
      </c>
      <c r="AK132" s="14">
        <f t="shared" si="89"/>
        <v>73.303379555549043</v>
      </c>
      <c r="AL132" s="22">
        <f t="shared" ref="AL132:AL153" si="112">(AJ132+AK132)*0.475*44/12</f>
        <v>667.87486072591389</v>
      </c>
      <c r="AM132" s="62">
        <f t="shared" ref="AM132:AM195" si="113">AL132+(AD132+AE132)*44/12</f>
        <v>961.20819405924726</v>
      </c>
      <c r="AN132" s="62">
        <f ca="1">AVERAGE(OFFSET($AM$3,0,0,'Données projet'!$E$10+1,1))-AVERAGE(OFFSET($H$3,0,0,'Données projet'!$E$10+1,1))</f>
        <v>384.44848355636935</v>
      </c>
      <c r="AO132" s="62">
        <f t="shared" si="90"/>
        <v>203.5274665601915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8.8675733422860506E-14</v>
      </c>
      <c r="BF132" s="14">
        <f t="shared" si="91"/>
        <v>1.3509285393066301E-12</v>
      </c>
      <c r="BG132" s="22">
        <f t="shared" ref="BG132:BG153" si="115">(BE132+BF132)*0.475*44/12</f>
        <v>2.5073107750038623E-12</v>
      </c>
      <c r="BH132" s="62">
        <f t="shared" ref="BH132:BH195" si="116">BG132+(AY132+AZ132)*44/12</f>
        <v>293.33333333333582</v>
      </c>
      <c r="BI132" s="62">
        <f ca="1">AVERAGE(OFFSET($BH$3,0,0,'Données projet'!$E$11+1,1))-AVERAGE(OFFSET($H$3,0,0,'Données projet'!$E$11+1,1))</f>
        <v>220.70608186257931</v>
      </c>
      <c r="BJ132" s="62">
        <f t="shared" si="92"/>
        <v>208.79744153433245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-1.5252226148732008E-13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310.47303518828346</v>
      </c>
      <c r="CE132" s="62">
        <f t="shared" si="94"/>
        <v>247.30353382335278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1.4897523215040567E-13</v>
      </c>
      <c r="P133" s="14">
        <f t="shared" ref="P133:P196" si="141">EXP(-1.0587+0.8836*LN(O133)+0.284)</f>
        <v>2.136562777003313E-12</v>
      </c>
      <c r="Q133" s="22">
        <f t="shared" si="108"/>
        <v>3.9806453659427267E-12</v>
      </c>
      <c r="R133" s="62">
        <f t="shared" si="109"/>
        <v>293.33333333333729</v>
      </c>
      <c r="S133" s="62">
        <f ca="1">AVERAGE(OFFSET($R$3,0,0,'Données projet'!$E$9+1,1))-AVERAGE(OFFSET($H$3,0,0,'Données projet'!$E$9+1,1))</f>
        <v>285.16422150773082</v>
      </c>
      <c r="T133" s="62">
        <f t="shared" ref="T133:T196" si="142">$T$3</f>
        <v>448.96462312238845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347</v>
      </c>
      <c r="AG133" s="13">
        <f>VLOOKUP(A133,'Données projet'!$A$61:$I$81,9,0)</f>
        <v>4.2</v>
      </c>
      <c r="AH133" s="13">
        <f t="array" ref="AH133">INDEX(AG:AG,MIN(IF(ISNUMBER(AG133:AG329),ROW(AG133:AG329),"")))</f>
        <v>4.2</v>
      </c>
      <c r="AI133" s="14">
        <f>IF('Données projet'!$A$62&gt;35,AI132+AH133-AQ132,IF(A133&lt;'Données projet'!$A$62,$AF$205^A133,IF(A133='Données projet'!$A$62,'Données projet'!$B$62,AI132+AH133-AQ132)))</f>
        <v>346.99999999999955</v>
      </c>
      <c r="AJ133" s="14">
        <f>AI133*VLOOKUP('Données projet'!$B$10,Paramètres!$A$1:$I$89,3,0)*VLOOKUP('Données projet'!$B$10,Paramètres!$A$1:$I$89,5,0)</f>
        <v>313.9655999999996</v>
      </c>
      <c r="AK133" s="14">
        <f t="shared" ref="AK133:AK153" si="143">EXP(-1.0587+0.8836*LN(AJ133)+0.284)</f>
        <v>74.096391618326706</v>
      </c>
      <c r="AL133" s="22">
        <f t="shared" si="112"/>
        <v>675.87463540191834</v>
      </c>
      <c r="AM133" s="62">
        <f t="shared" si="113"/>
        <v>969.2079687352516</v>
      </c>
      <c r="AN133" s="62">
        <f ca="1">AVERAGE(OFFSET($AM$3,0,0,'Données projet'!$E$10+1,1))-AVERAGE(OFFSET($H$3,0,0,'Données projet'!$E$10+1,1))</f>
        <v>384.44848355636935</v>
      </c>
      <c r="AO133" s="62">
        <f t="shared" ref="AO133:AO196" si="144">$AO$3</f>
        <v>203.5274665601915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44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8.8675733422860506E-14</v>
      </c>
      <c r="BF133" s="14">
        <f t="shared" ref="BF133:BF153" si="145">EXP(-1.0587+0.8836*LN(BE133)+0.284)</f>
        <v>1.3509285393066301E-12</v>
      </c>
      <c r="BG133" s="22">
        <f t="shared" si="115"/>
        <v>2.5073107750038623E-12</v>
      </c>
      <c r="BH133" s="62">
        <f t="shared" si="116"/>
        <v>293.33333333333582</v>
      </c>
      <c r="BI133" s="62">
        <f ca="1">AVERAGE(OFFSET($BH$3,0,0,'Données projet'!$E$11+1,1))-AVERAGE(OFFSET($H$3,0,0,'Données projet'!$E$11+1,1))</f>
        <v>220.70608186257931</v>
      </c>
      <c r="BJ133" s="62">
        <f t="shared" ref="BJ133:BJ196" si="146">$BJ$3</f>
        <v>208.79744153433245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-1.5252226148732008E-13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310.47303518828346</v>
      </c>
      <c r="CE133" s="62">
        <f t="shared" ref="CE133:CE196" si="148">$CE$3</f>
        <v>247.30353382335278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1.4897523215040567E-13</v>
      </c>
      <c r="P134" s="14">
        <f t="shared" si="141"/>
        <v>2.136562777003313E-12</v>
      </c>
      <c r="Q134" s="22">
        <f t="shared" si="108"/>
        <v>3.9806453659427267E-12</v>
      </c>
      <c r="R134" s="62">
        <f t="shared" si="109"/>
        <v>293.33333333333729</v>
      </c>
      <c r="S134" s="62">
        <f ca="1">AVERAGE(OFFSET($R$3,0,0,'Données projet'!$E$9+1,1))-AVERAGE(OFFSET($H$3,0,0,'Données projet'!$E$9+1,1))</f>
        <v>285.16422150773082</v>
      </c>
      <c r="T134" s="62">
        <f t="shared" si="142"/>
        <v>448.96462312238845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</v>
      </c>
      <c r="AI134" s="14">
        <f>IF('Données projet'!$A$62&gt;35,AI133+AH134-AQ133,IF(A134&lt;'Données projet'!$A$62,$AF$205^A134,IF(A134='Données projet'!$A$62,'Données projet'!$B$62,AI133+AH134-AQ133)))</f>
        <v>306.99999999999955</v>
      </c>
      <c r="AJ134" s="14">
        <f>AI134*VLOOKUP('Données projet'!$B$10,Paramètres!$A$1:$I$89,3,0)*VLOOKUP('Données projet'!$B$10,Paramètres!$A$1:$I$89,5,0)</f>
        <v>277.77359999999959</v>
      </c>
      <c r="AK134" s="14">
        <f t="shared" si="143"/>
        <v>66.496288176842299</v>
      </c>
      <c r="AL134" s="22">
        <f t="shared" si="112"/>
        <v>599.60338857466627</v>
      </c>
      <c r="AM134" s="62">
        <f t="shared" si="113"/>
        <v>892.93672190799953</v>
      </c>
      <c r="AN134" s="62">
        <f ca="1">AVERAGE(OFFSET($AM$3,0,0,'Données projet'!$E$10+1,1))-AVERAGE(OFFSET($H$3,0,0,'Données projet'!$E$10+1,1))</f>
        <v>384.44848355636935</v>
      </c>
      <c r="AO134" s="62">
        <f t="shared" si="144"/>
        <v>203.5274665601915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8.8675733422860506E-14</v>
      </c>
      <c r="BF134" s="14">
        <f t="shared" si="145"/>
        <v>1.3509285393066301E-12</v>
      </c>
      <c r="BG134" s="22">
        <f t="shared" si="115"/>
        <v>2.5073107750038623E-12</v>
      </c>
      <c r="BH134" s="62">
        <f t="shared" si="116"/>
        <v>293.33333333333582</v>
      </c>
      <c r="BI134" s="62">
        <f ca="1">AVERAGE(OFFSET($BH$3,0,0,'Données projet'!$E$11+1,1))-AVERAGE(OFFSET($H$3,0,0,'Données projet'!$E$11+1,1))</f>
        <v>220.70608186257931</v>
      </c>
      <c r="BJ134" s="62">
        <f t="shared" si="146"/>
        <v>208.79744153433245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-1.5252226148732008E-13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310.47303518828346</v>
      </c>
      <c r="CE134" s="62">
        <f t="shared" si="148"/>
        <v>247.30353382335278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1.4897523215040567E-13</v>
      </c>
      <c r="P135" s="14">
        <f t="shared" si="141"/>
        <v>2.136562777003313E-12</v>
      </c>
      <c r="Q135" s="22">
        <f t="shared" si="108"/>
        <v>3.9806453659427267E-12</v>
      </c>
      <c r="R135" s="62">
        <f t="shared" si="109"/>
        <v>293.33333333333729</v>
      </c>
      <c r="S135" s="62">
        <f ca="1">AVERAGE(OFFSET($R$3,0,0,'Données projet'!$E$9+1,1))-AVERAGE(OFFSET($H$3,0,0,'Données projet'!$E$9+1,1))</f>
        <v>285.16422150773082</v>
      </c>
      <c r="T135" s="62">
        <f t="shared" si="142"/>
        <v>448.96462312238845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</v>
      </c>
      <c r="AI135" s="14">
        <f>IF('Données projet'!$A$62&gt;35,AI134+AH135-AQ134,IF(A135&lt;'Données projet'!$A$62,$AF$205^A135,IF(A135='Données projet'!$A$62,'Données projet'!$B$62,AI134+AH135-AQ134)))</f>
        <v>310.99999999999955</v>
      </c>
      <c r="AJ135" s="14">
        <f>AI135*VLOOKUP('Données projet'!$B$10,Paramètres!$A$1:$I$89,3,0)*VLOOKUP('Données projet'!$B$10,Paramètres!$A$1:$I$89,5,0)</f>
        <v>281.39279999999957</v>
      </c>
      <c r="AK135" s="14">
        <f t="shared" si="143"/>
        <v>67.261262504634587</v>
      </c>
      <c r="AL135" s="22">
        <f t="shared" si="112"/>
        <v>607.23915886223779</v>
      </c>
      <c r="AM135" s="62">
        <f t="shared" si="113"/>
        <v>900.57249219557116</v>
      </c>
      <c r="AN135" s="62">
        <f ca="1">AVERAGE(OFFSET($AM$3,0,0,'Données projet'!$E$10+1,1))-AVERAGE(OFFSET($H$3,0,0,'Données projet'!$E$10+1,1))</f>
        <v>384.44848355636935</v>
      </c>
      <c r="AO135" s="62">
        <f t="shared" si="144"/>
        <v>203.5274665601915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8.8675733422860506E-14</v>
      </c>
      <c r="BF135" s="14">
        <f t="shared" si="145"/>
        <v>1.3509285393066301E-12</v>
      </c>
      <c r="BG135" s="22">
        <f t="shared" si="115"/>
        <v>2.5073107750038623E-12</v>
      </c>
      <c r="BH135" s="62">
        <f t="shared" si="116"/>
        <v>293.33333333333582</v>
      </c>
      <c r="BI135" s="62">
        <f ca="1">AVERAGE(OFFSET($BH$3,0,0,'Données projet'!$E$11+1,1))-AVERAGE(OFFSET($H$3,0,0,'Données projet'!$E$11+1,1))</f>
        <v>220.70608186257931</v>
      </c>
      <c r="BJ135" s="62">
        <f t="shared" si="146"/>
        <v>208.79744153433245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-1.5252226148732008E-13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310.47303518828346</v>
      </c>
      <c r="CE135" s="62">
        <f t="shared" si="148"/>
        <v>247.30353382335278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1.4897523215040567E-13</v>
      </c>
      <c r="P136" s="14">
        <f t="shared" si="141"/>
        <v>2.136562777003313E-12</v>
      </c>
      <c r="Q136" s="22">
        <f t="shared" si="108"/>
        <v>3.9806453659427267E-12</v>
      </c>
      <c r="R136" s="62">
        <f t="shared" si="109"/>
        <v>293.33333333333729</v>
      </c>
      <c r="S136" s="62">
        <f ca="1">AVERAGE(OFFSET($R$3,0,0,'Données projet'!$E$9+1,1))-AVERAGE(OFFSET($H$3,0,0,'Données projet'!$E$9+1,1))</f>
        <v>285.16422150773082</v>
      </c>
      <c r="T136" s="62">
        <f t="shared" si="142"/>
        <v>448.96462312238845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</v>
      </c>
      <c r="AI136" s="14">
        <f>IF('Données projet'!$A$62&gt;35,AI135+AH136-AQ135,IF(A136&lt;'Données projet'!$A$62,$AF$205^A136,IF(A136='Données projet'!$A$62,'Données projet'!$B$62,AI135+AH136-AQ135)))</f>
        <v>314.99999999999955</v>
      </c>
      <c r="AJ136" s="14">
        <f>AI136*VLOOKUP('Données projet'!$B$10,Paramètres!$A$1:$I$89,3,0)*VLOOKUP('Données projet'!$B$10,Paramètres!$A$1:$I$89,5,0)</f>
        <v>285.0119999999996</v>
      </c>
      <c r="AK136" s="14">
        <f t="shared" si="143"/>
        <v>68.025092408173052</v>
      </c>
      <c r="AL136" s="22">
        <f t="shared" si="112"/>
        <v>614.87293594423409</v>
      </c>
      <c r="AM136" s="62">
        <f t="shared" si="113"/>
        <v>908.20626927756734</v>
      </c>
      <c r="AN136" s="62">
        <f ca="1">AVERAGE(OFFSET($AM$3,0,0,'Données projet'!$E$10+1,1))-AVERAGE(OFFSET($H$3,0,0,'Données projet'!$E$10+1,1))</f>
        <v>384.44848355636935</v>
      </c>
      <c r="AO136" s="62">
        <f t="shared" si="144"/>
        <v>203.5274665601915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8.8675733422860506E-14</v>
      </c>
      <c r="BF136" s="14">
        <f t="shared" si="145"/>
        <v>1.3509285393066301E-12</v>
      </c>
      <c r="BG136" s="22">
        <f t="shared" si="115"/>
        <v>2.5073107750038623E-12</v>
      </c>
      <c r="BH136" s="62">
        <f t="shared" si="116"/>
        <v>293.33333333333582</v>
      </c>
      <c r="BI136" s="62">
        <f ca="1">AVERAGE(OFFSET($BH$3,0,0,'Données projet'!$E$11+1,1))-AVERAGE(OFFSET($H$3,0,0,'Données projet'!$E$11+1,1))</f>
        <v>220.70608186257931</v>
      </c>
      <c r="BJ136" s="62">
        <f t="shared" si="146"/>
        <v>208.79744153433245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-1.5252226148732008E-13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310.47303518828346</v>
      </c>
      <c r="CE136" s="62">
        <f t="shared" si="148"/>
        <v>247.30353382335278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1.4897523215040567E-13</v>
      </c>
      <c r="P137" s="14">
        <f t="shared" si="141"/>
        <v>2.136562777003313E-12</v>
      </c>
      <c r="Q137" s="22">
        <f t="shared" si="108"/>
        <v>3.9806453659427267E-12</v>
      </c>
      <c r="R137" s="62">
        <f t="shared" si="109"/>
        <v>293.33333333333729</v>
      </c>
      <c r="S137" s="62">
        <f ca="1">AVERAGE(OFFSET($R$3,0,0,'Données projet'!$E$9+1,1))-AVERAGE(OFFSET($H$3,0,0,'Données projet'!$E$9+1,1))</f>
        <v>285.16422150773082</v>
      </c>
      <c r="T137" s="62">
        <f t="shared" si="142"/>
        <v>448.96462312238845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</v>
      </c>
      <c r="AI137" s="14">
        <f>IF('Données projet'!$A$62&gt;35,AI136+AH137-AQ136,IF(A137&lt;'Données projet'!$A$62,$AF$205^A137,IF(A137='Données projet'!$A$62,'Données projet'!$B$62,AI136+AH137-AQ136)))</f>
        <v>318.99999999999955</v>
      </c>
      <c r="AJ137" s="14">
        <f>AI137*VLOOKUP('Données projet'!$B$10,Paramètres!$A$1:$I$89,3,0)*VLOOKUP('Données projet'!$B$10,Paramètres!$A$1:$I$89,5,0)</f>
        <v>288.63119999999958</v>
      </c>
      <c r="AK137" s="14">
        <f t="shared" si="143"/>
        <v>68.787794100289148</v>
      </c>
      <c r="AL137" s="22">
        <f t="shared" si="112"/>
        <v>622.50474805800286</v>
      </c>
      <c r="AM137" s="62">
        <f t="shared" si="113"/>
        <v>915.83808139133612</v>
      </c>
      <c r="AN137" s="62">
        <f ca="1">AVERAGE(OFFSET($AM$3,0,0,'Données projet'!$E$10+1,1))-AVERAGE(OFFSET($H$3,0,0,'Données projet'!$E$10+1,1))</f>
        <v>384.44848355636935</v>
      </c>
      <c r="AO137" s="62">
        <f t="shared" si="144"/>
        <v>203.5274665601915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8.8675733422860506E-14</v>
      </c>
      <c r="BF137" s="14">
        <f t="shared" si="145"/>
        <v>1.3509285393066301E-12</v>
      </c>
      <c r="BG137" s="22">
        <f t="shared" si="115"/>
        <v>2.5073107750038623E-12</v>
      </c>
      <c r="BH137" s="62">
        <f t="shared" si="116"/>
        <v>293.33333333333582</v>
      </c>
      <c r="BI137" s="62">
        <f ca="1">AVERAGE(OFFSET($BH$3,0,0,'Données projet'!$E$11+1,1))-AVERAGE(OFFSET($H$3,0,0,'Données projet'!$E$11+1,1))</f>
        <v>220.70608186257931</v>
      </c>
      <c r="BJ137" s="62">
        <f t="shared" si="146"/>
        <v>208.79744153433245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-1.5252226148732008E-13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310.47303518828346</v>
      </c>
      <c r="CE137" s="62">
        <f t="shared" si="148"/>
        <v>247.30353382335278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1.4897523215040567E-13</v>
      </c>
      <c r="P138" s="14">
        <f t="shared" si="141"/>
        <v>2.136562777003313E-12</v>
      </c>
      <c r="Q138" s="22">
        <f t="shared" si="108"/>
        <v>3.9806453659427267E-12</v>
      </c>
      <c r="R138" s="62">
        <f t="shared" si="109"/>
        <v>293.33333333333729</v>
      </c>
      <c r="S138" s="62">
        <f ca="1">AVERAGE(OFFSET($R$3,0,0,'Données projet'!$E$9+1,1))-AVERAGE(OFFSET($H$3,0,0,'Données projet'!$E$9+1,1))</f>
        <v>285.16422150773082</v>
      </c>
      <c r="T138" s="62">
        <f t="shared" si="142"/>
        <v>448.96462312238845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4</v>
      </c>
      <c r="AI138" s="14">
        <f>IF('Données projet'!$A$62&gt;35,AI137+AH138-AQ137,IF(A138&lt;'Données projet'!$A$62,$AF$205^A138,IF(A138='Données projet'!$A$62,'Données projet'!$B$62,AI137+AH138-AQ137)))</f>
        <v>322.99999999999955</v>
      </c>
      <c r="AJ138" s="14">
        <f>AI138*VLOOKUP('Données projet'!$B$10,Paramètres!$A$1:$I$89,3,0)*VLOOKUP('Données projet'!$B$10,Paramètres!$A$1:$I$89,5,0)</f>
        <v>292.25039999999956</v>
      </c>
      <c r="AK138" s="14">
        <f t="shared" si="143"/>
        <v>69.549383363839866</v>
      </c>
      <c r="AL138" s="22">
        <f t="shared" si="112"/>
        <v>630.13462269202034</v>
      </c>
      <c r="AM138" s="62">
        <f t="shared" si="113"/>
        <v>923.46795602535371</v>
      </c>
      <c r="AN138" s="62">
        <f ca="1">AVERAGE(OFFSET($AM$3,0,0,'Données projet'!$E$10+1,1))-AVERAGE(OFFSET($H$3,0,0,'Données projet'!$E$10+1,1))</f>
        <v>384.44848355636935</v>
      </c>
      <c r="AO138" s="62">
        <f t="shared" si="144"/>
        <v>203.5274665601915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8.8675733422860506E-14</v>
      </c>
      <c r="BF138" s="14">
        <f t="shared" si="145"/>
        <v>1.3509285393066301E-12</v>
      </c>
      <c r="BG138" s="22">
        <f t="shared" si="115"/>
        <v>2.5073107750038623E-12</v>
      </c>
      <c r="BH138" s="62">
        <f t="shared" si="116"/>
        <v>293.33333333333582</v>
      </c>
      <c r="BI138" s="62">
        <f ca="1">AVERAGE(OFFSET($BH$3,0,0,'Données projet'!$E$11+1,1))-AVERAGE(OFFSET($H$3,0,0,'Données projet'!$E$11+1,1))</f>
        <v>220.70608186257931</v>
      </c>
      <c r="BJ138" s="62">
        <f t="shared" si="146"/>
        <v>208.79744153433245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-1.5252226148732008E-13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310.47303518828346</v>
      </c>
      <c r="CE138" s="62">
        <f t="shared" si="148"/>
        <v>247.30353382335278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1.4897523215040567E-13</v>
      </c>
      <c r="P139" s="14">
        <f t="shared" si="141"/>
        <v>2.136562777003313E-12</v>
      </c>
      <c r="Q139" s="22">
        <f t="shared" si="108"/>
        <v>3.9806453659427267E-12</v>
      </c>
      <c r="R139" s="62">
        <f t="shared" si="109"/>
        <v>293.33333333333729</v>
      </c>
      <c r="S139" s="62">
        <f ca="1">AVERAGE(OFFSET($R$3,0,0,'Données projet'!$E$9+1,1))-AVERAGE(OFFSET($H$3,0,0,'Données projet'!$E$9+1,1))</f>
        <v>285.16422150773082</v>
      </c>
      <c r="T139" s="62">
        <f t="shared" si="142"/>
        <v>448.96462312238845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</v>
      </c>
      <c r="AI139" s="14">
        <f>IF('Données projet'!$A$62&gt;35,AI138+AH139-AQ138,IF(A139&lt;'Données projet'!$A$62,$AF$205^A139,IF(A139='Données projet'!$A$62,'Données projet'!$B$62,AI138+AH139-AQ138)))</f>
        <v>326.99999999999955</v>
      </c>
      <c r="AJ139" s="14">
        <f>AI139*VLOOKUP('Données projet'!$B$10,Paramètres!$A$1:$I$89,3,0)*VLOOKUP('Données projet'!$B$10,Paramètres!$A$1:$I$89,5,0)</f>
        <v>295.86959999999954</v>
      </c>
      <c r="AK139" s="14">
        <f t="shared" si="143"/>
        <v>70.309875568291091</v>
      </c>
      <c r="AL139" s="22">
        <f t="shared" si="112"/>
        <v>637.76258661477277</v>
      </c>
      <c r="AM139" s="62">
        <f t="shared" si="113"/>
        <v>931.09591994810603</v>
      </c>
      <c r="AN139" s="62">
        <f ca="1">AVERAGE(OFFSET($AM$3,0,0,'Données projet'!$E$10+1,1))-AVERAGE(OFFSET($H$3,0,0,'Données projet'!$E$10+1,1))</f>
        <v>384.44848355636935</v>
      </c>
      <c r="AO139" s="62">
        <f t="shared" si="144"/>
        <v>203.5274665601915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8.8675733422860506E-14</v>
      </c>
      <c r="BF139" s="14">
        <f t="shared" si="145"/>
        <v>1.3509285393066301E-12</v>
      </c>
      <c r="BG139" s="22">
        <f t="shared" si="115"/>
        <v>2.5073107750038623E-12</v>
      </c>
      <c r="BH139" s="62">
        <f t="shared" si="116"/>
        <v>293.33333333333582</v>
      </c>
      <c r="BI139" s="62">
        <f ca="1">AVERAGE(OFFSET($BH$3,0,0,'Données projet'!$E$11+1,1))-AVERAGE(OFFSET($H$3,0,0,'Données projet'!$E$11+1,1))</f>
        <v>220.70608186257931</v>
      </c>
      <c r="BJ139" s="62">
        <f t="shared" si="146"/>
        <v>208.79744153433245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-1.5252226148732008E-13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310.47303518828346</v>
      </c>
      <c r="CE139" s="62">
        <f t="shared" si="148"/>
        <v>247.30353382335278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1.4897523215040567E-13</v>
      </c>
      <c r="P140" s="14">
        <f t="shared" si="141"/>
        <v>2.136562777003313E-12</v>
      </c>
      <c r="Q140" s="22">
        <f t="shared" si="108"/>
        <v>3.9806453659427267E-12</v>
      </c>
      <c r="R140" s="62">
        <f t="shared" si="109"/>
        <v>293.33333333333729</v>
      </c>
      <c r="S140" s="62">
        <f ca="1">AVERAGE(OFFSET($R$3,0,0,'Données projet'!$E$9+1,1))-AVERAGE(OFFSET($H$3,0,0,'Données projet'!$E$9+1,1))</f>
        <v>285.16422150773082</v>
      </c>
      <c r="T140" s="62">
        <f t="shared" si="142"/>
        <v>448.96462312238845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</v>
      </c>
      <c r="AI140" s="14">
        <f>IF('Données projet'!$A$62&gt;35,AI139+AH140-AQ139,IF(A140&lt;'Données projet'!$A$62,$AF$205^A140,IF(A140='Données projet'!$A$62,'Données projet'!$B$62,AI139+AH140-AQ139)))</f>
        <v>330.99999999999955</v>
      </c>
      <c r="AJ140" s="14">
        <f>AI140*VLOOKUP('Données projet'!$B$10,Paramètres!$A$1:$I$89,3,0)*VLOOKUP('Données projet'!$B$10,Paramètres!$A$1:$I$89,5,0)</f>
        <v>299.48879999999957</v>
      </c>
      <c r="AK140" s="14">
        <f t="shared" si="143"/>
        <v>71.069285685467236</v>
      </c>
      <c r="AL140" s="22">
        <f t="shared" si="112"/>
        <v>645.38866590218811</v>
      </c>
      <c r="AM140" s="62">
        <f t="shared" si="113"/>
        <v>938.72199923552148</v>
      </c>
      <c r="AN140" s="62">
        <f ca="1">AVERAGE(OFFSET($AM$3,0,0,'Données projet'!$E$10+1,1))-AVERAGE(OFFSET($H$3,0,0,'Données projet'!$E$10+1,1))</f>
        <v>384.44848355636935</v>
      </c>
      <c r="AO140" s="62">
        <f t="shared" si="144"/>
        <v>203.5274665601915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8.8675733422860506E-14</v>
      </c>
      <c r="BF140" s="14">
        <f t="shared" si="145"/>
        <v>1.3509285393066301E-12</v>
      </c>
      <c r="BG140" s="22">
        <f t="shared" si="115"/>
        <v>2.5073107750038623E-12</v>
      </c>
      <c r="BH140" s="62">
        <f t="shared" si="116"/>
        <v>293.33333333333582</v>
      </c>
      <c r="BI140" s="62">
        <f ca="1">AVERAGE(OFFSET($BH$3,0,0,'Données projet'!$E$11+1,1))-AVERAGE(OFFSET($H$3,0,0,'Données projet'!$E$11+1,1))</f>
        <v>220.70608186257931</v>
      </c>
      <c r="BJ140" s="62">
        <f t="shared" si="146"/>
        <v>208.79744153433245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-1.5252226148732008E-13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310.47303518828346</v>
      </c>
      <c r="CE140" s="62">
        <f t="shared" si="148"/>
        <v>247.30353382335278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1.4897523215040567E-13</v>
      </c>
      <c r="P141" s="14">
        <f t="shared" si="141"/>
        <v>2.136562777003313E-12</v>
      </c>
      <c r="Q141" s="22">
        <f t="shared" si="108"/>
        <v>3.9806453659427267E-12</v>
      </c>
      <c r="R141" s="62">
        <f t="shared" si="109"/>
        <v>293.33333333333729</v>
      </c>
      <c r="S141" s="62">
        <f ca="1">AVERAGE(OFFSET($R$3,0,0,'Données projet'!$E$9+1,1))-AVERAGE(OFFSET($H$3,0,0,'Données projet'!$E$9+1,1))</f>
        <v>285.16422150773082</v>
      </c>
      <c r="T141" s="62">
        <f t="shared" si="142"/>
        <v>448.96462312238845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4</v>
      </c>
      <c r="AI141" s="14">
        <f>IF('Données projet'!$A$62&gt;35,AI140+AH141-AQ140,IF(A141&lt;'Données projet'!$A$62,$AF$205^A141,IF(A141='Données projet'!$A$62,'Données projet'!$B$62,AI140+AH141-AQ140)))</f>
        <v>334.99999999999955</v>
      </c>
      <c r="AJ141" s="14">
        <f>AI141*VLOOKUP('Données projet'!$B$10,Paramètres!$A$1:$I$89,3,0)*VLOOKUP('Données projet'!$B$10,Paramètres!$A$1:$I$89,5,0)</f>
        <v>303.10799999999961</v>
      </c>
      <c r="AK141" s="14">
        <f t="shared" si="143"/>
        <v>71.827628304517162</v>
      </c>
      <c r="AL141" s="22">
        <f t="shared" si="112"/>
        <v>653.0128859637</v>
      </c>
      <c r="AM141" s="62">
        <f t="shared" si="113"/>
        <v>946.34621929703326</v>
      </c>
      <c r="AN141" s="62">
        <f ca="1">AVERAGE(OFFSET($AM$3,0,0,'Données projet'!$E$10+1,1))-AVERAGE(OFFSET($H$3,0,0,'Données projet'!$E$10+1,1))</f>
        <v>384.44848355636935</v>
      </c>
      <c r="AO141" s="62">
        <f t="shared" si="144"/>
        <v>203.5274665601915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8.8675733422860506E-14</v>
      </c>
      <c r="BF141" s="14">
        <f t="shared" si="145"/>
        <v>1.3509285393066301E-12</v>
      </c>
      <c r="BG141" s="22">
        <f t="shared" si="115"/>
        <v>2.5073107750038623E-12</v>
      </c>
      <c r="BH141" s="62">
        <f t="shared" si="116"/>
        <v>293.33333333333582</v>
      </c>
      <c r="BI141" s="62">
        <f ca="1">AVERAGE(OFFSET($BH$3,0,0,'Données projet'!$E$11+1,1))-AVERAGE(OFFSET($H$3,0,0,'Données projet'!$E$11+1,1))</f>
        <v>220.70608186257931</v>
      </c>
      <c r="BJ141" s="62">
        <f t="shared" si="146"/>
        <v>208.79744153433245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-1.5252226148732008E-13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310.47303518828346</v>
      </c>
      <c r="CE141" s="62">
        <f t="shared" si="148"/>
        <v>247.30353382335278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1.4897523215040567E-13</v>
      </c>
      <c r="P142" s="14">
        <f t="shared" si="141"/>
        <v>2.136562777003313E-12</v>
      </c>
      <c r="Q142" s="22">
        <f t="shared" si="108"/>
        <v>3.9806453659427267E-12</v>
      </c>
      <c r="R142" s="62">
        <f t="shared" si="109"/>
        <v>293.33333333333729</v>
      </c>
      <c r="S142" s="62">
        <f ca="1">AVERAGE(OFFSET($R$3,0,0,'Données projet'!$E$9+1,1))-AVERAGE(OFFSET($H$3,0,0,'Données projet'!$E$9+1,1))</f>
        <v>285.16422150773082</v>
      </c>
      <c r="T142" s="62">
        <f t="shared" si="142"/>
        <v>448.96462312238845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</v>
      </c>
      <c r="AI142" s="14">
        <f>IF('Données projet'!$A$62&gt;35,AI141+AH142-AQ141,IF(A142&lt;'Données projet'!$A$62,$AF$205^A142,IF(A142='Données projet'!$A$62,'Données projet'!$B$62,AI141+AH142-AQ141)))</f>
        <v>338.99999999999955</v>
      </c>
      <c r="AJ142" s="14">
        <f>AI142*VLOOKUP('Données projet'!$B$10,Paramètres!$A$1:$I$89,3,0)*VLOOKUP('Données projet'!$B$10,Paramètres!$A$1:$I$89,5,0)</f>
        <v>306.72719999999958</v>
      </c>
      <c r="AK142" s="14">
        <f t="shared" si="143"/>
        <v>72.584917646145513</v>
      </c>
      <c r="AL142" s="22">
        <f t="shared" si="112"/>
        <v>660.63527156703606</v>
      </c>
      <c r="AM142" s="62">
        <f t="shared" si="113"/>
        <v>953.96860490036943</v>
      </c>
      <c r="AN142" s="62">
        <f ca="1">AVERAGE(OFFSET($AM$3,0,0,'Données projet'!$E$10+1,1))-AVERAGE(OFFSET($H$3,0,0,'Données projet'!$E$10+1,1))</f>
        <v>384.44848355636935</v>
      </c>
      <c r="AO142" s="62">
        <f t="shared" si="144"/>
        <v>203.5274665601915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8.8675733422860506E-14</v>
      </c>
      <c r="BF142" s="14">
        <f t="shared" si="145"/>
        <v>1.3509285393066301E-12</v>
      </c>
      <c r="BG142" s="22">
        <f t="shared" si="115"/>
        <v>2.5073107750038623E-12</v>
      </c>
      <c r="BH142" s="62">
        <f t="shared" si="116"/>
        <v>293.33333333333582</v>
      </c>
      <c r="BI142" s="62">
        <f ca="1">AVERAGE(OFFSET($BH$3,0,0,'Données projet'!$E$11+1,1))-AVERAGE(OFFSET($H$3,0,0,'Données projet'!$E$11+1,1))</f>
        <v>220.70608186257931</v>
      </c>
      <c r="BJ142" s="62">
        <f t="shared" si="146"/>
        <v>208.79744153433245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-1.5252226148732008E-13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310.47303518828346</v>
      </c>
      <c r="CE142" s="62">
        <f t="shared" si="148"/>
        <v>247.30353382335278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1.4897523215040567E-13</v>
      </c>
      <c r="P143" s="14">
        <f t="shared" si="141"/>
        <v>2.136562777003313E-12</v>
      </c>
      <c r="Q143" s="22">
        <f t="shared" si="108"/>
        <v>3.9806453659427267E-12</v>
      </c>
      <c r="R143" s="62">
        <f t="shared" si="109"/>
        <v>293.33333333333729</v>
      </c>
      <c r="S143" s="62">
        <f ca="1">AVERAGE(OFFSET($R$3,0,0,'Données projet'!$E$9+1,1))-AVERAGE(OFFSET($H$3,0,0,'Données projet'!$E$9+1,1))</f>
        <v>285.16422150773082</v>
      </c>
      <c r="T143" s="62">
        <f t="shared" si="142"/>
        <v>448.96462312238845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343</v>
      </c>
      <c r="AG143" s="13">
        <f>VLOOKUP(A143,'Données projet'!$A$61:$I$81,9,0)</f>
        <v>4</v>
      </c>
      <c r="AH143" s="13">
        <f t="array" ref="AH143">INDEX(AG:AG,MIN(IF(ISNUMBER(AG143:AG339),ROW(AG143:AG339),"")))</f>
        <v>4</v>
      </c>
      <c r="AI143" s="14">
        <f>IF('Données projet'!$A$62&gt;35,AI142+AH143-AQ142,IF(A143&lt;'Données projet'!$A$62,$AF$205^A143,IF(A143='Données projet'!$A$62,'Données projet'!$B$62,AI142+AH143-AQ142)))</f>
        <v>342.99999999999955</v>
      </c>
      <c r="AJ143" s="14">
        <f>AI143*VLOOKUP('Données projet'!$B$10,Paramètres!$A$1:$I$89,3,0)*VLOOKUP('Données projet'!$B$10,Paramètres!$A$1:$I$89,5,0)</f>
        <v>310.34639999999956</v>
      </c>
      <c r="AK143" s="14">
        <f t="shared" si="143"/>
        <v>73.341167576152927</v>
      </c>
      <c r="AL143" s="22">
        <f t="shared" si="112"/>
        <v>668.25584686179889</v>
      </c>
      <c r="AM143" s="62">
        <f t="shared" si="113"/>
        <v>961.58918019513226</v>
      </c>
      <c r="AN143" s="62">
        <f ca="1">AVERAGE(OFFSET($AM$3,0,0,'Données projet'!$E$10+1,1))-AVERAGE(OFFSET($H$3,0,0,'Données projet'!$E$10+1,1))</f>
        <v>384.44848355636935</v>
      </c>
      <c r="AO143" s="62">
        <f t="shared" si="144"/>
        <v>203.5274665601915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43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8.8675733422860506E-14</v>
      </c>
      <c r="BF143" s="14">
        <f t="shared" si="145"/>
        <v>1.3509285393066301E-12</v>
      </c>
      <c r="BG143" s="22">
        <f t="shared" si="115"/>
        <v>2.5073107750038623E-12</v>
      </c>
      <c r="BH143" s="62">
        <f t="shared" si="116"/>
        <v>293.33333333333582</v>
      </c>
      <c r="BI143" s="62">
        <f ca="1">AVERAGE(OFFSET($BH$3,0,0,'Données projet'!$E$11+1,1))-AVERAGE(OFFSET($H$3,0,0,'Données projet'!$E$11+1,1))</f>
        <v>220.70608186257931</v>
      </c>
      <c r="BJ143" s="62">
        <f t="shared" si="146"/>
        <v>208.79744153433245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-1.5252226148732008E-13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310.47303518828346</v>
      </c>
      <c r="CE143" s="62">
        <f t="shared" si="148"/>
        <v>247.30353382335278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1.4897523215040567E-13</v>
      </c>
      <c r="P144" s="14">
        <f t="shared" si="141"/>
        <v>2.136562777003313E-12</v>
      </c>
      <c r="Q144" s="22">
        <f t="shared" si="108"/>
        <v>3.9806453659427267E-12</v>
      </c>
      <c r="R144" s="62">
        <f t="shared" si="109"/>
        <v>293.33333333333729</v>
      </c>
      <c r="S144" s="62">
        <f ca="1">AVERAGE(OFFSET($R$3,0,0,'Données projet'!$E$9+1,1))-AVERAGE(OFFSET($H$3,0,0,'Données projet'!$E$9+1,1))</f>
        <v>285.16422150773082</v>
      </c>
      <c r="T144" s="62">
        <f t="shared" si="142"/>
        <v>448.96462312238845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3.5</v>
      </c>
      <c r="AI144" s="14">
        <f>IF('Données projet'!$A$62&gt;35,AI143+AH144-AQ143,IF(A144&lt;'Données projet'!$A$62,$AF$205^A144,IF(A144='Données projet'!$A$62,'Données projet'!$B$62,AI143+AH144-AQ143)))</f>
        <v>303.49999999999955</v>
      </c>
      <c r="AJ144" s="14">
        <f>AI144*VLOOKUP('Données projet'!$B$10,Paramètres!$A$1:$I$89,3,0)*VLOOKUP('Données projet'!$B$10,Paramètres!$A$1:$I$89,5,0)</f>
        <v>274.60679999999957</v>
      </c>
      <c r="AK144" s="14">
        <f t="shared" si="143"/>
        <v>65.825983768649721</v>
      </c>
      <c r="AL144" s="22">
        <f t="shared" si="112"/>
        <v>592.92043173039758</v>
      </c>
      <c r="AM144" s="62">
        <f t="shared" si="113"/>
        <v>886.25376506373095</v>
      </c>
      <c r="AN144" s="62">
        <f ca="1">AVERAGE(OFFSET($AM$3,0,0,'Données projet'!$E$10+1,1))-AVERAGE(OFFSET($H$3,0,0,'Données projet'!$E$10+1,1))</f>
        <v>384.44848355636935</v>
      </c>
      <c r="AO144" s="62">
        <f t="shared" si="144"/>
        <v>203.5274665601915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8.8675733422860506E-14</v>
      </c>
      <c r="BF144" s="14">
        <f t="shared" si="145"/>
        <v>1.3509285393066301E-12</v>
      </c>
      <c r="BG144" s="22">
        <f t="shared" si="115"/>
        <v>2.5073107750038623E-12</v>
      </c>
      <c r="BH144" s="62">
        <f t="shared" si="116"/>
        <v>293.33333333333582</v>
      </c>
      <c r="BI144" s="62">
        <f ca="1">AVERAGE(OFFSET($BH$3,0,0,'Données projet'!$E$11+1,1))-AVERAGE(OFFSET($H$3,0,0,'Données projet'!$E$11+1,1))</f>
        <v>220.70608186257931</v>
      </c>
      <c r="BJ144" s="62">
        <f t="shared" si="146"/>
        <v>208.79744153433245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-1.5252226148732008E-13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310.47303518828346</v>
      </c>
      <c r="CE144" s="62">
        <f t="shared" si="148"/>
        <v>247.30353382335278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1.4897523215040567E-13</v>
      </c>
      <c r="P145" s="14">
        <f t="shared" si="141"/>
        <v>2.136562777003313E-12</v>
      </c>
      <c r="Q145" s="22">
        <f t="shared" si="108"/>
        <v>3.9806453659427267E-12</v>
      </c>
      <c r="R145" s="62">
        <f t="shared" si="109"/>
        <v>293.33333333333729</v>
      </c>
      <c r="S145" s="62">
        <f ca="1">AVERAGE(OFFSET($R$3,0,0,'Données projet'!$E$9+1,1))-AVERAGE(OFFSET($H$3,0,0,'Données projet'!$E$9+1,1))</f>
        <v>285.16422150773082</v>
      </c>
      <c r="T145" s="62">
        <f t="shared" si="142"/>
        <v>448.96462312238845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3.5</v>
      </c>
      <c r="AI145" s="14">
        <f>IF('Données projet'!$A$62&gt;35,AI144+AH145-AQ144,IF(A145&lt;'Données projet'!$A$62,$AF$205^A145,IF(A145='Données projet'!$A$62,'Données projet'!$B$62,AI144+AH145-AQ144)))</f>
        <v>306.99999999999955</v>
      </c>
      <c r="AJ145" s="14">
        <f>AI145*VLOOKUP('Données projet'!$B$10,Paramètres!$A$1:$I$89,3,0)*VLOOKUP('Données projet'!$B$10,Paramètres!$A$1:$I$89,5,0)</f>
        <v>277.77359999999959</v>
      </c>
      <c r="AK145" s="14">
        <f t="shared" si="143"/>
        <v>66.496288176842299</v>
      </c>
      <c r="AL145" s="22">
        <f t="shared" si="112"/>
        <v>599.60338857466627</v>
      </c>
      <c r="AM145" s="62">
        <f t="shared" si="113"/>
        <v>892.93672190799953</v>
      </c>
      <c r="AN145" s="62">
        <f ca="1">AVERAGE(OFFSET($AM$3,0,0,'Données projet'!$E$10+1,1))-AVERAGE(OFFSET($H$3,0,0,'Données projet'!$E$10+1,1))</f>
        <v>384.44848355636935</v>
      </c>
      <c r="AO145" s="62">
        <f t="shared" si="144"/>
        <v>203.5274665601915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8.8675733422860506E-14</v>
      </c>
      <c r="BF145" s="14">
        <f t="shared" si="145"/>
        <v>1.3509285393066301E-12</v>
      </c>
      <c r="BG145" s="22">
        <f t="shared" si="115"/>
        <v>2.5073107750038623E-12</v>
      </c>
      <c r="BH145" s="62">
        <f t="shared" si="116"/>
        <v>293.33333333333582</v>
      </c>
      <c r="BI145" s="62">
        <f ca="1">AVERAGE(OFFSET($BH$3,0,0,'Données projet'!$E$11+1,1))-AVERAGE(OFFSET($H$3,0,0,'Données projet'!$E$11+1,1))</f>
        <v>220.70608186257931</v>
      </c>
      <c r="BJ145" s="62">
        <f t="shared" si="146"/>
        <v>208.79744153433245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-1.5252226148732008E-13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310.47303518828346</v>
      </c>
      <c r="CE145" s="62">
        <f t="shared" si="148"/>
        <v>247.30353382335278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1.4897523215040567E-13</v>
      </c>
      <c r="P146" s="14">
        <f t="shared" si="141"/>
        <v>2.136562777003313E-12</v>
      </c>
      <c r="Q146" s="22">
        <f t="shared" si="108"/>
        <v>3.9806453659427267E-12</v>
      </c>
      <c r="R146" s="62">
        <f t="shared" si="109"/>
        <v>293.33333333333729</v>
      </c>
      <c r="S146" s="62">
        <f ca="1">AVERAGE(OFFSET($R$3,0,0,'Données projet'!$E$9+1,1))-AVERAGE(OFFSET($H$3,0,0,'Données projet'!$E$9+1,1))</f>
        <v>285.16422150773082</v>
      </c>
      <c r="T146" s="62">
        <f t="shared" si="142"/>
        <v>448.96462312238845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3.5</v>
      </c>
      <c r="AI146" s="14">
        <f>IF('Données projet'!$A$62&gt;35,AI145+AH146-AQ145,IF(A146&lt;'Données projet'!$A$62,$AF$205^A146,IF(A146='Données projet'!$A$62,'Données projet'!$B$62,AI145+AH146-AQ145)))</f>
        <v>310.49999999999955</v>
      </c>
      <c r="AJ146" s="14">
        <f>AI146*VLOOKUP('Données projet'!$B$10,Paramètres!$A$1:$I$89,3,0)*VLOOKUP('Données projet'!$B$10,Paramètres!$A$1:$I$89,5,0)</f>
        <v>280.94039999999956</v>
      </c>
      <c r="AK146" s="14">
        <f t="shared" si="143"/>
        <v>67.165703636653078</v>
      </c>
      <c r="AL146" s="22">
        <f t="shared" si="112"/>
        <v>606.28479716716993</v>
      </c>
      <c r="AM146" s="62">
        <f t="shared" si="113"/>
        <v>899.61813050050318</v>
      </c>
      <c r="AN146" s="62">
        <f ca="1">AVERAGE(OFFSET($AM$3,0,0,'Données projet'!$E$10+1,1))-AVERAGE(OFFSET($H$3,0,0,'Données projet'!$E$10+1,1))</f>
        <v>384.44848355636935</v>
      </c>
      <c r="AO146" s="62">
        <f t="shared" si="144"/>
        <v>203.5274665601915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8.8675733422860506E-14</v>
      </c>
      <c r="BF146" s="14">
        <f t="shared" si="145"/>
        <v>1.3509285393066301E-12</v>
      </c>
      <c r="BG146" s="22">
        <f t="shared" si="115"/>
        <v>2.5073107750038623E-12</v>
      </c>
      <c r="BH146" s="62">
        <f t="shared" si="116"/>
        <v>293.33333333333582</v>
      </c>
      <c r="BI146" s="62">
        <f ca="1">AVERAGE(OFFSET($BH$3,0,0,'Données projet'!$E$11+1,1))-AVERAGE(OFFSET($H$3,0,0,'Données projet'!$E$11+1,1))</f>
        <v>220.70608186257931</v>
      </c>
      <c r="BJ146" s="62">
        <f t="shared" si="146"/>
        <v>208.79744153433245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-1.5252226148732008E-13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310.47303518828346</v>
      </c>
      <c r="CE146" s="62">
        <f t="shared" si="148"/>
        <v>247.30353382335278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1.4897523215040567E-13</v>
      </c>
      <c r="P147" s="14">
        <f t="shared" si="141"/>
        <v>2.136562777003313E-12</v>
      </c>
      <c r="Q147" s="22">
        <f t="shared" si="108"/>
        <v>3.9806453659427267E-12</v>
      </c>
      <c r="R147" s="62">
        <f t="shared" si="109"/>
        <v>293.33333333333729</v>
      </c>
      <c r="S147" s="62">
        <f ca="1">AVERAGE(OFFSET($R$3,0,0,'Données projet'!$E$9+1,1))-AVERAGE(OFFSET($H$3,0,0,'Données projet'!$E$9+1,1))</f>
        <v>285.16422150773082</v>
      </c>
      <c r="T147" s="62">
        <f t="shared" si="142"/>
        <v>448.96462312238845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3.5</v>
      </c>
      <c r="AI147" s="14">
        <f>IF('Données projet'!$A$62&gt;35,AI146+AH147-AQ146,IF(A147&lt;'Données projet'!$A$62,$AF$205^A147,IF(A147='Données projet'!$A$62,'Données projet'!$B$62,AI146+AH147-AQ146)))</f>
        <v>313.99999999999955</v>
      </c>
      <c r="AJ147" s="14">
        <f>AI147*VLOOKUP('Données projet'!$B$10,Paramètres!$A$1:$I$89,3,0)*VLOOKUP('Données projet'!$B$10,Paramètres!$A$1:$I$89,5,0)</f>
        <v>284.10719999999958</v>
      </c>
      <c r="AK147" s="14">
        <f t="shared" si="143"/>
        <v>67.834241327943658</v>
      </c>
      <c r="AL147" s="22">
        <f t="shared" si="112"/>
        <v>612.96467697950118</v>
      </c>
      <c r="AM147" s="62">
        <f t="shared" si="113"/>
        <v>906.29801031283455</v>
      </c>
      <c r="AN147" s="62">
        <f ca="1">AVERAGE(OFFSET($AM$3,0,0,'Données projet'!$E$10+1,1))-AVERAGE(OFFSET($H$3,0,0,'Données projet'!$E$10+1,1))</f>
        <v>384.44848355636935</v>
      </c>
      <c r="AO147" s="62">
        <f t="shared" si="144"/>
        <v>203.5274665601915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8.8675733422860506E-14</v>
      </c>
      <c r="BF147" s="14">
        <f t="shared" si="145"/>
        <v>1.3509285393066301E-12</v>
      </c>
      <c r="BG147" s="22">
        <f t="shared" si="115"/>
        <v>2.5073107750038623E-12</v>
      </c>
      <c r="BH147" s="62">
        <f t="shared" si="116"/>
        <v>293.33333333333582</v>
      </c>
      <c r="BI147" s="62">
        <f ca="1">AVERAGE(OFFSET($BH$3,0,0,'Données projet'!$E$11+1,1))-AVERAGE(OFFSET($H$3,0,0,'Données projet'!$E$11+1,1))</f>
        <v>220.70608186257931</v>
      </c>
      <c r="BJ147" s="62">
        <f t="shared" si="146"/>
        <v>208.79744153433245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-1.5252226148732008E-13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310.47303518828346</v>
      </c>
      <c r="CE147" s="62">
        <f t="shared" si="148"/>
        <v>247.30353382335278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1.4897523215040567E-13</v>
      </c>
      <c r="P148" s="14">
        <f t="shared" si="141"/>
        <v>2.136562777003313E-12</v>
      </c>
      <c r="Q148" s="22">
        <f t="shared" si="108"/>
        <v>3.9806453659427267E-12</v>
      </c>
      <c r="R148" s="62">
        <f t="shared" si="109"/>
        <v>293.33333333333729</v>
      </c>
      <c r="S148" s="62">
        <f ca="1">AVERAGE(OFFSET($R$3,0,0,'Données projet'!$E$9+1,1))-AVERAGE(OFFSET($H$3,0,0,'Données projet'!$E$9+1,1))</f>
        <v>285.16422150773082</v>
      </c>
      <c r="T148" s="62">
        <f t="shared" si="142"/>
        <v>448.96462312238845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3.5</v>
      </c>
      <c r="AI148" s="14">
        <f>IF('Données projet'!$A$62&gt;35,AI147+AH148-AQ147,IF(A148&lt;'Données projet'!$A$62,$AF$205^A148,IF(A148='Données projet'!$A$62,'Données projet'!$B$62,AI147+AH148-AQ147)))</f>
        <v>317.49999999999955</v>
      </c>
      <c r="AJ148" s="14">
        <f>AI148*VLOOKUP('Données projet'!$B$10,Paramètres!$A$1:$I$89,3,0)*VLOOKUP('Données projet'!$B$10,Paramètres!$A$1:$I$89,5,0)</f>
        <v>287.2739999999996</v>
      </c>
      <c r="AK148" s="14">
        <f t="shared" si="143"/>
        <v>68.501912166991971</v>
      </c>
      <c r="AL148" s="22">
        <f t="shared" si="112"/>
        <v>619.64304702417701</v>
      </c>
      <c r="AM148" s="62">
        <f t="shared" si="113"/>
        <v>912.97638035751038</v>
      </c>
      <c r="AN148" s="62">
        <f ca="1">AVERAGE(OFFSET($AM$3,0,0,'Données projet'!$E$10+1,1))-AVERAGE(OFFSET($H$3,0,0,'Données projet'!$E$10+1,1))</f>
        <v>384.44848355636935</v>
      </c>
      <c r="AO148" s="62">
        <f t="shared" si="144"/>
        <v>203.5274665601915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8.8675733422860506E-14</v>
      </c>
      <c r="BF148" s="14">
        <f t="shared" si="145"/>
        <v>1.3509285393066301E-12</v>
      </c>
      <c r="BG148" s="22">
        <f t="shared" si="115"/>
        <v>2.5073107750038623E-12</v>
      </c>
      <c r="BH148" s="62">
        <f t="shared" si="116"/>
        <v>293.33333333333582</v>
      </c>
      <c r="BI148" s="62">
        <f ca="1">AVERAGE(OFFSET($BH$3,0,0,'Données projet'!$E$11+1,1))-AVERAGE(OFFSET($H$3,0,0,'Données projet'!$E$11+1,1))</f>
        <v>220.70608186257931</v>
      </c>
      <c r="BJ148" s="62">
        <f t="shared" si="146"/>
        <v>208.79744153433245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-1.5252226148732008E-13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310.47303518828346</v>
      </c>
      <c r="CE148" s="62">
        <f t="shared" si="148"/>
        <v>247.30353382335278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1.4897523215040567E-13</v>
      </c>
      <c r="P149" s="14">
        <f t="shared" si="141"/>
        <v>2.136562777003313E-12</v>
      </c>
      <c r="Q149" s="22">
        <f t="shared" si="108"/>
        <v>3.9806453659427267E-12</v>
      </c>
      <c r="R149" s="62">
        <f t="shared" si="109"/>
        <v>293.33333333333729</v>
      </c>
      <c r="S149" s="62">
        <f ca="1">AVERAGE(OFFSET($R$3,0,0,'Données projet'!$E$9+1,1))-AVERAGE(OFFSET($H$3,0,0,'Données projet'!$E$9+1,1))</f>
        <v>285.16422150773082</v>
      </c>
      <c r="T149" s="62">
        <f t="shared" si="142"/>
        <v>448.96462312238845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3.5</v>
      </c>
      <c r="AI149" s="14">
        <f>IF('Données projet'!$A$62&gt;35,AI148+AH149-AQ148,IF(A149&lt;'Données projet'!$A$62,$AF$205^A149,IF(A149='Données projet'!$A$62,'Données projet'!$B$62,AI148+AH149-AQ148)))</f>
        <v>320.99999999999955</v>
      </c>
      <c r="AJ149" s="14">
        <f>AI149*VLOOKUP('Données projet'!$B$10,Paramètres!$A$1:$I$89,3,0)*VLOOKUP('Données projet'!$B$10,Paramètres!$A$1:$I$89,5,0)</f>
        <v>290.44079999999957</v>
      </c>
      <c r="AK149" s="14">
        <f t="shared" si="143"/>
        <v>69.168726815543238</v>
      </c>
      <c r="AL149" s="22">
        <f t="shared" si="112"/>
        <v>626.31992587040372</v>
      </c>
      <c r="AM149" s="62">
        <f t="shared" si="113"/>
        <v>919.65325920373698</v>
      </c>
      <c r="AN149" s="62">
        <f ca="1">AVERAGE(OFFSET($AM$3,0,0,'Données projet'!$E$10+1,1))-AVERAGE(OFFSET($H$3,0,0,'Données projet'!$E$10+1,1))</f>
        <v>384.44848355636935</v>
      </c>
      <c r="AO149" s="62">
        <f t="shared" si="144"/>
        <v>203.5274665601915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8.8675733422860506E-14</v>
      </c>
      <c r="BF149" s="14">
        <f t="shared" si="145"/>
        <v>1.3509285393066301E-12</v>
      </c>
      <c r="BG149" s="22">
        <f t="shared" si="115"/>
        <v>2.5073107750038623E-12</v>
      </c>
      <c r="BH149" s="62">
        <f t="shared" si="116"/>
        <v>293.33333333333582</v>
      </c>
      <c r="BI149" s="62">
        <f ca="1">AVERAGE(OFFSET($BH$3,0,0,'Données projet'!$E$11+1,1))-AVERAGE(OFFSET($H$3,0,0,'Données projet'!$E$11+1,1))</f>
        <v>220.70608186257931</v>
      </c>
      <c r="BJ149" s="62">
        <f t="shared" si="146"/>
        <v>208.79744153433245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-1.5252226148732008E-13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310.47303518828346</v>
      </c>
      <c r="CE149" s="62">
        <f t="shared" si="148"/>
        <v>247.30353382335278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1.4897523215040567E-13</v>
      </c>
      <c r="P150" s="14">
        <f t="shared" si="141"/>
        <v>2.136562777003313E-12</v>
      </c>
      <c r="Q150" s="22">
        <f t="shared" si="108"/>
        <v>3.9806453659427267E-12</v>
      </c>
      <c r="R150" s="62">
        <f t="shared" si="109"/>
        <v>293.33333333333729</v>
      </c>
      <c r="S150" s="62">
        <f ca="1">AVERAGE(OFFSET($R$3,0,0,'Données projet'!$E$9+1,1))-AVERAGE(OFFSET($H$3,0,0,'Données projet'!$E$9+1,1))</f>
        <v>285.16422150773082</v>
      </c>
      <c r="T150" s="62">
        <f t="shared" si="142"/>
        <v>448.96462312238845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3.5</v>
      </c>
      <c r="AI150" s="14">
        <f>IF('Données projet'!$A$62&gt;35,AI149+AH150-AQ149,IF(A150&lt;'Données projet'!$A$62,$AF$205^A150,IF(A150='Données projet'!$A$62,'Données projet'!$B$62,AI149+AH150-AQ149)))</f>
        <v>324.49999999999955</v>
      </c>
      <c r="AJ150" s="14">
        <f>AI150*VLOOKUP('Données projet'!$B$10,Paramètres!$A$1:$I$89,3,0)*VLOOKUP('Données projet'!$B$10,Paramètres!$A$1:$I$89,5,0)</f>
        <v>293.60759999999959</v>
      </c>
      <c r="AK150" s="14">
        <f t="shared" si="143"/>
        <v>69.834695689453554</v>
      </c>
      <c r="AL150" s="22">
        <f t="shared" si="112"/>
        <v>632.99533165913078</v>
      </c>
      <c r="AM150" s="62">
        <f t="shared" si="113"/>
        <v>926.32866499246416</v>
      </c>
      <c r="AN150" s="62">
        <f ca="1">AVERAGE(OFFSET($AM$3,0,0,'Données projet'!$E$10+1,1))-AVERAGE(OFFSET($H$3,0,0,'Données projet'!$E$10+1,1))</f>
        <v>384.44848355636935</v>
      </c>
      <c r="AO150" s="62">
        <f t="shared" si="144"/>
        <v>203.5274665601915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8.8675733422860506E-14</v>
      </c>
      <c r="BF150" s="14">
        <f t="shared" si="145"/>
        <v>1.3509285393066301E-12</v>
      </c>
      <c r="BG150" s="22">
        <f t="shared" si="115"/>
        <v>2.5073107750038623E-12</v>
      </c>
      <c r="BH150" s="62">
        <f t="shared" si="116"/>
        <v>293.33333333333582</v>
      </c>
      <c r="BI150" s="62">
        <f ca="1">AVERAGE(OFFSET($BH$3,0,0,'Données projet'!$E$11+1,1))-AVERAGE(OFFSET($H$3,0,0,'Données projet'!$E$11+1,1))</f>
        <v>220.70608186257931</v>
      </c>
      <c r="BJ150" s="62">
        <f t="shared" si="146"/>
        <v>208.79744153433245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-1.5252226148732008E-13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310.47303518828346</v>
      </c>
      <c r="CE150" s="62">
        <f t="shared" si="148"/>
        <v>247.30353382335278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1.4897523215040567E-13</v>
      </c>
      <c r="P151" s="14">
        <f t="shared" si="141"/>
        <v>2.136562777003313E-12</v>
      </c>
      <c r="Q151" s="22">
        <f t="shared" si="108"/>
        <v>3.9806453659427267E-12</v>
      </c>
      <c r="R151" s="62">
        <f t="shared" si="109"/>
        <v>293.33333333333729</v>
      </c>
      <c r="S151" s="62">
        <f ca="1">AVERAGE(OFFSET($R$3,0,0,'Données projet'!$E$9+1,1))-AVERAGE(OFFSET($H$3,0,0,'Données projet'!$E$9+1,1))</f>
        <v>285.16422150773082</v>
      </c>
      <c r="T151" s="62">
        <f t="shared" si="142"/>
        <v>448.96462312238845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3.5</v>
      </c>
      <c r="AI151" s="14">
        <f>IF('Données projet'!$A$62&gt;35,AI150+AH151-AQ150,IF(A151&lt;'Données projet'!$A$62,$AF$205^A151,IF(A151='Données projet'!$A$62,'Données projet'!$B$62,AI150+AH151-AQ150)))</f>
        <v>327.99999999999955</v>
      </c>
      <c r="AJ151" s="14">
        <f>AI151*VLOOKUP('Données projet'!$B$10,Paramètres!$A$1:$I$89,3,0)*VLOOKUP('Données projet'!$B$10,Paramètres!$A$1:$I$89,5,0)</f>
        <v>296.77439999999956</v>
      </c>
      <c r="AK151" s="14">
        <f t="shared" si="143"/>
        <v>70.499828966950616</v>
      </c>
      <c r="AL151" s="22">
        <f t="shared" si="112"/>
        <v>639.66928211743823</v>
      </c>
      <c r="AM151" s="62">
        <f t="shared" si="113"/>
        <v>933.0026154507716</v>
      </c>
      <c r="AN151" s="62">
        <f ca="1">AVERAGE(OFFSET($AM$3,0,0,'Données projet'!$E$10+1,1))-AVERAGE(OFFSET($H$3,0,0,'Données projet'!$E$10+1,1))</f>
        <v>384.44848355636935</v>
      </c>
      <c r="AO151" s="62">
        <f t="shared" si="144"/>
        <v>203.5274665601915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8.8675733422860506E-14</v>
      </c>
      <c r="BF151" s="14">
        <f t="shared" si="145"/>
        <v>1.3509285393066301E-12</v>
      </c>
      <c r="BG151" s="22">
        <f t="shared" si="115"/>
        <v>2.5073107750038623E-12</v>
      </c>
      <c r="BH151" s="62">
        <f t="shared" si="116"/>
        <v>293.33333333333582</v>
      </c>
      <c r="BI151" s="62">
        <f ca="1">AVERAGE(OFFSET($BH$3,0,0,'Données projet'!$E$11+1,1))-AVERAGE(OFFSET($H$3,0,0,'Données projet'!$E$11+1,1))</f>
        <v>220.70608186257931</v>
      </c>
      <c r="BJ151" s="62">
        <f t="shared" si="146"/>
        <v>208.79744153433245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-1.5252226148732008E-13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310.47303518828346</v>
      </c>
      <c r="CE151" s="62">
        <f t="shared" si="148"/>
        <v>247.30353382335278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1.4897523215040567E-13</v>
      </c>
      <c r="P152" s="14">
        <f t="shared" si="141"/>
        <v>2.136562777003313E-12</v>
      </c>
      <c r="Q152" s="22">
        <f t="shared" si="108"/>
        <v>3.9806453659427267E-12</v>
      </c>
      <c r="R152" s="62">
        <f t="shared" si="109"/>
        <v>293.33333333333729</v>
      </c>
      <c r="S152" s="62">
        <f ca="1">AVERAGE(OFFSET($R$3,0,0,'Données projet'!$E$9+1,1))-AVERAGE(OFFSET($H$3,0,0,'Données projet'!$E$9+1,1))</f>
        <v>285.16422150773082</v>
      </c>
      <c r="T152" s="62">
        <f t="shared" si="142"/>
        <v>448.96462312238845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3.5</v>
      </c>
      <c r="AI152" s="14">
        <f>IF('Données projet'!$A$62&gt;35,AI151+AH152-AQ151,IF(A152&lt;'Données projet'!$A$62,$AF$205^A152,IF(A152='Données projet'!$A$62,'Données projet'!$B$62,AI151+AH152-AQ151)))</f>
        <v>331.49999999999955</v>
      </c>
      <c r="AJ152" s="14">
        <f>AI152*VLOOKUP('Données projet'!$B$10,Paramètres!$A$1:$I$89,3,0)*VLOOKUP('Données projet'!$B$10,Paramètres!$A$1:$I$89,5,0)</f>
        <v>299.94119999999958</v>
      </c>
      <c r="AK152" s="14">
        <f t="shared" si="143"/>
        <v>71.164136596531449</v>
      </c>
      <c r="AL152" s="22">
        <f t="shared" si="112"/>
        <v>646.34179457229163</v>
      </c>
      <c r="AM152" s="62">
        <f t="shared" si="113"/>
        <v>939.675127905625</v>
      </c>
      <c r="AN152" s="62">
        <f ca="1">AVERAGE(OFFSET($AM$3,0,0,'Données projet'!$E$10+1,1))-AVERAGE(OFFSET($H$3,0,0,'Données projet'!$E$10+1,1))</f>
        <v>384.44848355636935</v>
      </c>
      <c r="AO152" s="62">
        <f t="shared" si="144"/>
        <v>203.5274665601915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8.8675733422860506E-14</v>
      </c>
      <c r="BF152" s="14">
        <f t="shared" si="145"/>
        <v>1.3509285393066301E-12</v>
      </c>
      <c r="BG152" s="22">
        <f t="shared" si="115"/>
        <v>2.5073107750038623E-12</v>
      </c>
      <c r="BH152" s="62">
        <f t="shared" si="116"/>
        <v>293.33333333333582</v>
      </c>
      <c r="BI152" s="62">
        <f ca="1">AVERAGE(OFFSET($BH$3,0,0,'Données projet'!$E$11+1,1))-AVERAGE(OFFSET($H$3,0,0,'Données projet'!$E$11+1,1))</f>
        <v>220.70608186257931</v>
      </c>
      <c r="BJ152" s="62">
        <f t="shared" si="146"/>
        <v>208.79744153433245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-1.5252226148732008E-13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310.47303518828346</v>
      </c>
      <c r="CE152" s="62">
        <f t="shared" si="148"/>
        <v>247.30353382335278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1.4897523215040567E-13</v>
      </c>
      <c r="P153" s="14">
        <f t="shared" si="141"/>
        <v>2.136562777003313E-12</v>
      </c>
      <c r="Q153" s="22">
        <f t="shared" si="108"/>
        <v>3.9806453659427267E-12</v>
      </c>
      <c r="R153" s="62">
        <f t="shared" si="109"/>
        <v>293.33333333333729</v>
      </c>
      <c r="S153" s="62">
        <f ca="1">AVERAGE(OFFSET($R$3,0,0,'Données projet'!$E$9+1,1))-AVERAGE(OFFSET($H$3,0,0,'Données projet'!$E$9+1,1))</f>
        <v>285.16422150773082</v>
      </c>
      <c r="T153" s="62">
        <f t="shared" si="142"/>
        <v>448.96462312238845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335</v>
      </c>
      <c r="AG153" s="13">
        <f>VLOOKUP(A153,'Données projet'!$A$61:$I$81,9,0)</f>
        <v>3.5</v>
      </c>
      <c r="AH153" s="13">
        <f t="array" ref="AH153">INDEX(AG:AG,MIN(IF(ISNUMBER(AG153:AG349),ROW(AG153:AG349),"")))</f>
        <v>3.5</v>
      </c>
      <c r="AI153" s="14">
        <f>IF('Données projet'!$A$62&gt;35,AI152+AH153-AQ152,IF(A153&lt;'Données projet'!$A$62,$AF$205^A153,IF(A153='Données projet'!$A$62,'Données projet'!$B$62,AI152+AH153-AQ152)))</f>
        <v>334.99999999999955</v>
      </c>
      <c r="AJ153" s="14">
        <f>AI153*VLOOKUP('Données projet'!$B$10,Paramètres!$A$1:$I$89,3,0)*VLOOKUP('Données projet'!$B$10,Paramètres!$A$1:$I$89,5,0)</f>
        <v>303.10799999999961</v>
      </c>
      <c r="AK153" s="14">
        <f t="shared" si="143"/>
        <v>71.827628304517162</v>
      </c>
      <c r="AL153" s="22">
        <f t="shared" si="112"/>
        <v>653.0128859637</v>
      </c>
      <c r="AM153" s="62">
        <f t="shared" si="113"/>
        <v>946.34621929703326</v>
      </c>
      <c r="AN153" s="62">
        <f ca="1">AVERAGE(OFFSET($AM$3,0,0,'Données projet'!$E$10+1,1))-AVERAGE(OFFSET($H$3,0,0,'Données projet'!$E$10+1,1))</f>
        <v>384.44848355636935</v>
      </c>
      <c r="AO153" s="62">
        <f t="shared" si="144"/>
        <v>203.5274665601915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335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8.8675733422860506E-14</v>
      </c>
      <c r="BF153" s="14">
        <f t="shared" si="145"/>
        <v>1.3509285393066301E-12</v>
      </c>
      <c r="BG153" s="22">
        <f t="shared" si="115"/>
        <v>2.5073107750038623E-12</v>
      </c>
      <c r="BH153" s="62">
        <f t="shared" si="116"/>
        <v>293.33333333333582</v>
      </c>
      <c r="BI153" s="62">
        <f ca="1">AVERAGE(OFFSET($BH$3,0,0,'Données projet'!$E$11+1,1))-AVERAGE(OFFSET($H$3,0,0,'Données projet'!$E$11+1,1))</f>
        <v>220.70608186257931</v>
      </c>
      <c r="BJ153" s="62">
        <f t="shared" si="146"/>
        <v>208.79744153433245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-1.5252226148732008E-13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310.47303518828346</v>
      </c>
      <c r="CE153" s="62">
        <f t="shared" si="148"/>
        <v>247.30353382335278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1.4897523215040567E-13</v>
      </c>
      <c r="P154" s="14">
        <f t="shared" si="141"/>
        <v>2.136562777003313E-12</v>
      </c>
      <c r="Q154" s="22">
        <f t="shared" ref="Q154:Q203" si="162">(O154+P154)*0.475*44/12</f>
        <v>3.9806453659427267E-12</v>
      </c>
      <c r="R154" s="62">
        <f t="shared" si="109"/>
        <v>293.33333333333729</v>
      </c>
      <c r="S154" s="62">
        <f ca="1">AVERAGE(OFFSET($R$3,0,0,'Données projet'!$E$9+1,1))-AVERAGE(OFFSET($H$3,0,0,'Données projet'!$E$9+1,1))</f>
        <v>285.16422150773082</v>
      </c>
      <c r="T154" s="62">
        <f t="shared" si="142"/>
        <v>448.96462312238845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-4.1145540308207271E-13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384.44848355636935</v>
      </c>
      <c r="AO154" s="62">
        <f t="shared" si="144"/>
        <v>203.5274665601915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8.8675733422860506E-14</v>
      </c>
      <c r="BF154" s="14">
        <f t="shared" ref="BF154:BF203" si="167">EXP(-1.0587+0.8836*LN(BE154)+0.284)</f>
        <v>1.3509285393066301E-12</v>
      </c>
      <c r="BG154" s="22">
        <f t="shared" ref="BG154:BG203" si="168">(BE154+BF154)*0.475*44/12</f>
        <v>2.5073107750038623E-12</v>
      </c>
      <c r="BH154" s="62">
        <f t="shared" si="116"/>
        <v>293.33333333333582</v>
      </c>
      <c r="BI154" s="62">
        <f ca="1">AVERAGE(OFFSET($BH$3,0,0,'Données projet'!$E$11+1,1))-AVERAGE(OFFSET($H$3,0,0,'Données projet'!$E$11+1,1))</f>
        <v>220.70608186257931</v>
      </c>
      <c r="BJ154" s="62">
        <f t="shared" si="146"/>
        <v>208.79744153433245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-1.5252226148732008E-13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310.47303518828346</v>
      </c>
      <c r="CE154" s="62">
        <f t="shared" si="148"/>
        <v>247.30353382335278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1.4897523215040567E-13</v>
      </c>
      <c r="P155" s="14">
        <f t="shared" si="141"/>
        <v>2.136562777003313E-12</v>
      </c>
      <c r="Q155" s="22">
        <f t="shared" si="162"/>
        <v>3.9806453659427267E-12</v>
      </c>
      <c r="R155" s="62">
        <f t="shared" si="109"/>
        <v>293.33333333333729</v>
      </c>
      <c r="S155" s="62">
        <f ca="1">AVERAGE(OFFSET($R$3,0,0,'Données projet'!$E$9+1,1))-AVERAGE(OFFSET($H$3,0,0,'Données projet'!$E$9+1,1))</f>
        <v>285.16422150773082</v>
      </c>
      <c r="T155" s="62">
        <f t="shared" si="142"/>
        <v>448.96462312238845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-4.1145540308207271E-13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384.44848355636935</v>
      </c>
      <c r="AO155" s="62">
        <f t="shared" si="144"/>
        <v>203.5274665601915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8.8675733422860506E-14</v>
      </c>
      <c r="BF155" s="14">
        <f t="shared" si="167"/>
        <v>1.3509285393066301E-12</v>
      </c>
      <c r="BG155" s="22">
        <f t="shared" si="168"/>
        <v>2.5073107750038623E-12</v>
      </c>
      <c r="BH155" s="62">
        <f t="shared" si="116"/>
        <v>293.33333333333582</v>
      </c>
      <c r="BI155" s="62">
        <f ca="1">AVERAGE(OFFSET($BH$3,0,0,'Données projet'!$E$11+1,1))-AVERAGE(OFFSET($H$3,0,0,'Données projet'!$E$11+1,1))</f>
        <v>220.70608186257931</v>
      </c>
      <c r="BJ155" s="62">
        <f t="shared" si="146"/>
        <v>208.79744153433245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-1.5252226148732008E-13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310.47303518828346</v>
      </c>
      <c r="CE155" s="62">
        <f t="shared" si="148"/>
        <v>247.30353382335278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1.4897523215040567E-13</v>
      </c>
      <c r="P156" s="14">
        <f t="shared" si="141"/>
        <v>2.136562777003313E-12</v>
      </c>
      <c r="Q156" s="22">
        <f t="shared" si="162"/>
        <v>3.9806453659427267E-12</v>
      </c>
      <c r="R156" s="62">
        <f t="shared" si="109"/>
        <v>293.33333333333729</v>
      </c>
      <c r="S156" s="62">
        <f ca="1">AVERAGE(OFFSET($R$3,0,0,'Données projet'!$E$9+1,1))-AVERAGE(OFFSET($H$3,0,0,'Données projet'!$E$9+1,1))</f>
        <v>285.16422150773082</v>
      </c>
      <c r="T156" s="62">
        <f t="shared" si="142"/>
        <v>448.96462312238845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-4.1145540308207271E-13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384.44848355636935</v>
      </c>
      <c r="AO156" s="62">
        <f t="shared" si="144"/>
        <v>203.5274665601915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8.8675733422860506E-14</v>
      </c>
      <c r="BF156" s="14">
        <f t="shared" si="167"/>
        <v>1.3509285393066301E-12</v>
      </c>
      <c r="BG156" s="22">
        <f t="shared" si="168"/>
        <v>2.5073107750038623E-12</v>
      </c>
      <c r="BH156" s="62">
        <f t="shared" si="116"/>
        <v>293.33333333333582</v>
      </c>
      <c r="BI156" s="62">
        <f ca="1">AVERAGE(OFFSET($BH$3,0,0,'Données projet'!$E$11+1,1))-AVERAGE(OFFSET($H$3,0,0,'Données projet'!$E$11+1,1))</f>
        <v>220.70608186257931</v>
      </c>
      <c r="BJ156" s="62">
        <f t="shared" si="146"/>
        <v>208.79744153433245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-1.5252226148732008E-13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310.47303518828346</v>
      </c>
      <c r="CE156" s="62">
        <f t="shared" si="148"/>
        <v>247.30353382335278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1.4897523215040567E-13</v>
      </c>
      <c r="P157" s="14">
        <f t="shared" si="141"/>
        <v>2.136562777003313E-12</v>
      </c>
      <c r="Q157" s="22">
        <f t="shared" si="162"/>
        <v>3.9806453659427267E-12</v>
      </c>
      <c r="R157" s="62">
        <f t="shared" si="109"/>
        <v>293.33333333333729</v>
      </c>
      <c r="S157" s="62">
        <f ca="1">AVERAGE(OFFSET($R$3,0,0,'Données projet'!$E$9+1,1))-AVERAGE(OFFSET($H$3,0,0,'Données projet'!$E$9+1,1))</f>
        <v>285.16422150773082</v>
      </c>
      <c r="T157" s="62">
        <f t="shared" si="142"/>
        <v>448.96462312238845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-4.1145540308207271E-13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384.44848355636935</v>
      </c>
      <c r="AO157" s="62">
        <f t="shared" si="144"/>
        <v>203.5274665601915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8.8675733422860506E-14</v>
      </c>
      <c r="BF157" s="14">
        <f t="shared" si="167"/>
        <v>1.3509285393066301E-12</v>
      </c>
      <c r="BG157" s="22">
        <f t="shared" si="168"/>
        <v>2.5073107750038623E-12</v>
      </c>
      <c r="BH157" s="62">
        <f t="shared" si="116"/>
        <v>293.33333333333582</v>
      </c>
      <c r="BI157" s="62">
        <f ca="1">AVERAGE(OFFSET($BH$3,0,0,'Données projet'!$E$11+1,1))-AVERAGE(OFFSET($H$3,0,0,'Données projet'!$E$11+1,1))</f>
        <v>220.70608186257931</v>
      </c>
      <c r="BJ157" s="62">
        <f t="shared" si="146"/>
        <v>208.79744153433245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-1.5252226148732008E-13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310.47303518828346</v>
      </c>
      <c r="CE157" s="62">
        <f t="shared" si="148"/>
        <v>247.30353382335278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1.4897523215040567E-13</v>
      </c>
      <c r="P158" s="14">
        <f t="shared" si="141"/>
        <v>2.136562777003313E-12</v>
      </c>
      <c r="Q158" s="22">
        <f t="shared" si="162"/>
        <v>3.9806453659427267E-12</v>
      </c>
      <c r="R158" s="62">
        <f t="shared" si="109"/>
        <v>293.33333333333729</v>
      </c>
      <c r="S158" s="62">
        <f ca="1">AVERAGE(OFFSET($R$3,0,0,'Données projet'!$E$9+1,1))-AVERAGE(OFFSET($H$3,0,0,'Données projet'!$E$9+1,1))</f>
        <v>285.16422150773082</v>
      </c>
      <c r="T158" s="62">
        <f t="shared" si="142"/>
        <v>448.96462312238845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-4.1145540308207271E-13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384.44848355636935</v>
      </c>
      <c r="AO158" s="62">
        <f t="shared" si="144"/>
        <v>203.5274665601915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8.8675733422860506E-14</v>
      </c>
      <c r="BF158" s="14">
        <f t="shared" si="167"/>
        <v>1.3509285393066301E-12</v>
      </c>
      <c r="BG158" s="22">
        <f t="shared" si="168"/>
        <v>2.5073107750038623E-12</v>
      </c>
      <c r="BH158" s="62">
        <f t="shared" si="116"/>
        <v>293.33333333333582</v>
      </c>
      <c r="BI158" s="62">
        <f ca="1">AVERAGE(OFFSET($BH$3,0,0,'Données projet'!$E$11+1,1))-AVERAGE(OFFSET($H$3,0,0,'Données projet'!$E$11+1,1))</f>
        <v>220.70608186257931</v>
      </c>
      <c r="BJ158" s="62">
        <f t="shared" si="146"/>
        <v>208.79744153433245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-1.5252226148732008E-13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310.47303518828346</v>
      </c>
      <c r="CE158" s="62">
        <f t="shared" si="148"/>
        <v>247.30353382335278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1.4897523215040567E-13</v>
      </c>
      <c r="P159" s="14">
        <f t="shared" si="141"/>
        <v>2.136562777003313E-12</v>
      </c>
      <c r="Q159" s="22">
        <f t="shared" si="162"/>
        <v>3.9806453659427267E-12</v>
      </c>
      <c r="R159" s="62">
        <f t="shared" si="109"/>
        <v>293.33333333333729</v>
      </c>
      <c r="S159" s="62">
        <f ca="1">AVERAGE(OFFSET($R$3,0,0,'Données projet'!$E$9+1,1))-AVERAGE(OFFSET($H$3,0,0,'Données projet'!$E$9+1,1))</f>
        <v>285.16422150773082</v>
      </c>
      <c r="T159" s="62">
        <f t="shared" si="142"/>
        <v>448.96462312238845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-4.1145540308207271E-13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384.44848355636935</v>
      </c>
      <c r="AO159" s="62">
        <f t="shared" si="144"/>
        <v>203.5274665601915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8.8675733422860506E-14</v>
      </c>
      <c r="BF159" s="14">
        <f t="shared" si="167"/>
        <v>1.3509285393066301E-12</v>
      </c>
      <c r="BG159" s="22">
        <f t="shared" si="168"/>
        <v>2.5073107750038623E-12</v>
      </c>
      <c r="BH159" s="62">
        <f t="shared" si="116"/>
        <v>293.33333333333582</v>
      </c>
      <c r="BI159" s="62">
        <f ca="1">AVERAGE(OFFSET($BH$3,0,0,'Données projet'!$E$11+1,1))-AVERAGE(OFFSET($H$3,0,0,'Données projet'!$E$11+1,1))</f>
        <v>220.70608186257931</v>
      </c>
      <c r="BJ159" s="62">
        <f t="shared" si="146"/>
        <v>208.79744153433245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-1.5252226148732008E-13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310.47303518828346</v>
      </c>
      <c r="CE159" s="62">
        <f t="shared" si="148"/>
        <v>247.30353382335278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1.4897523215040567E-13</v>
      </c>
      <c r="P160" s="14">
        <f t="shared" si="141"/>
        <v>2.136562777003313E-12</v>
      </c>
      <c r="Q160" s="22">
        <f t="shared" si="162"/>
        <v>3.9806453659427267E-12</v>
      </c>
      <c r="R160" s="62">
        <f t="shared" si="109"/>
        <v>293.33333333333729</v>
      </c>
      <c r="S160" s="62">
        <f ca="1">AVERAGE(OFFSET($R$3,0,0,'Données projet'!$E$9+1,1))-AVERAGE(OFFSET($H$3,0,0,'Données projet'!$E$9+1,1))</f>
        <v>285.16422150773082</v>
      </c>
      <c r="T160" s="62">
        <f t="shared" si="142"/>
        <v>448.96462312238845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-4.1145540308207271E-13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384.44848355636935</v>
      </c>
      <c r="AO160" s="62">
        <f t="shared" si="144"/>
        <v>203.5274665601915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8.8675733422860506E-14</v>
      </c>
      <c r="BF160" s="14">
        <f t="shared" si="167"/>
        <v>1.3509285393066301E-12</v>
      </c>
      <c r="BG160" s="22">
        <f t="shared" si="168"/>
        <v>2.5073107750038623E-12</v>
      </c>
      <c r="BH160" s="62">
        <f t="shared" si="116"/>
        <v>293.33333333333582</v>
      </c>
      <c r="BI160" s="62">
        <f ca="1">AVERAGE(OFFSET($BH$3,0,0,'Données projet'!$E$11+1,1))-AVERAGE(OFFSET($H$3,0,0,'Données projet'!$E$11+1,1))</f>
        <v>220.70608186257931</v>
      </c>
      <c r="BJ160" s="62">
        <f t="shared" si="146"/>
        <v>208.79744153433245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-1.5252226148732008E-13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310.47303518828346</v>
      </c>
      <c r="CE160" s="62">
        <f t="shared" si="148"/>
        <v>247.30353382335278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1.4897523215040567E-13</v>
      </c>
      <c r="P161" s="14">
        <f t="shared" si="141"/>
        <v>2.136562777003313E-12</v>
      </c>
      <c r="Q161" s="22">
        <f t="shared" si="162"/>
        <v>3.9806453659427267E-12</v>
      </c>
      <c r="R161" s="62">
        <f t="shared" si="109"/>
        <v>293.33333333333729</v>
      </c>
      <c r="S161" s="62">
        <f ca="1">AVERAGE(OFFSET($R$3,0,0,'Données projet'!$E$9+1,1))-AVERAGE(OFFSET($H$3,0,0,'Données projet'!$E$9+1,1))</f>
        <v>285.16422150773082</v>
      </c>
      <c r="T161" s="62">
        <f t="shared" si="142"/>
        <v>448.96462312238845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-4.1145540308207271E-13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384.44848355636935</v>
      </c>
      <c r="AO161" s="62">
        <f t="shared" si="144"/>
        <v>203.5274665601915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8.8675733422860506E-14</v>
      </c>
      <c r="BF161" s="14">
        <f t="shared" si="167"/>
        <v>1.3509285393066301E-12</v>
      </c>
      <c r="BG161" s="22">
        <f t="shared" si="168"/>
        <v>2.5073107750038623E-12</v>
      </c>
      <c r="BH161" s="62">
        <f t="shared" si="116"/>
        <v>293.33333333333582</v>
      </c>
      <c r="BI161" s="62">
        <f ca="1">AVERAGE(OFFSET($BH$3,0,0,'Données projet'!$E$11+1,1))-AVERAGE(OFFSET($H$3,0,0,'Données projet'!$E$11+1,1))</f>
        <v>220.70608186257931</v>
      </c>
      <c r="BJ161" s="62">
        <f t="shared" si="146"/>
        <v>208.79744153433245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-1.5252226148732008E-13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310.47303518828346</v>
      </c>
      <c r="CE161" s="62">
        <f t="shared" si="148"/>
        <v>247.30353382335278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1.4897523215040567E-13</v>
      </c>
      <c r="P162" s="14">
        <f t="shared" si="141"/>
        <v>2.136562777003313E-12</v>
      </c>
      <c r="Q162" s="22">
        <f t="shared" si="162"/>
        <v>3.9806453659427267E-12</v>
      </c>
      <c r="R162" s="62">
        <f t="shared" si="109"/>
        <v>293.33333333333729</v>
      </c>
      <c r="S162" s="62">
        <f ca="1">AVERAGE(OFFSET($R$3,0,0,'Données projet'!$E$9+1,1))-AVERAGE(OFFSET($H$3,0,0,'Données projet'!$E$9+1,1))</f>
        <v>285.16422150773082</v>
      </c>
      <c r="T162" s="62">
        <f t="shared" si="142"/>
        <v>448.96462312238845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-4.1145540308207271E-13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384.44848355636935</v>
      </c>
      <c r="AO162" s="62">
        <f t="shared" si="144"/>
        <v>203.5274665601915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8.8675733422860506E-14</v>
      </c>
      <c r="BF162" s="14">
        <f t="shared" si="167"/>
        <v>1.3509285393066301E-12</v>
      </c>
      <c r="BG162" s="22">
        <f t="shared" si="168"/>
        <v>2.5073107750038623E-12</v>
      </c>
      <c r="BH162" s="62">
        <f t="shared" si="116"/>
        <v>293.33333333333582</v>
      </c>
      <c r="BI162" s="62">
        <f ca="1">AVERAGE(OFFSET($BH$3,0,0,'Données projet'!$E$11+1,1))-AVERAGE(OFFSET($H$3,0,0,'Données projet'!$E$11+1,1))</f>
        <v>220.70608186257931</v>
      </c>
      <c r="BJ162" s="62">
        <f t="shared" si="146"/>
        <v>208.79744153433245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-1.5252226148732008E-13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310.47303518828346</v>
      </c>
      <c r="CE162" s="62">
        <f t="shared" si="148"/>
        <v>247.30353382335278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1.4897523215040567E-13</v>
      </c>
      <c r="P163" s="14">
        <f t="shared" si="141"/>
        <v>2.136562777003313E-12</v>
      </c>
      <c r="Q163" s="22">
        <f t="shared" si="162"/>
        <v>3.9806453659427267E-12</v>
      </c>
      <c r="R163" s="62">
        <f t="shared" si="109"/>
        <v>293.33333333333729</v>
      </c>
      <c r="S163" s="62">
        <f ca="1">AVERAGE(OFFSET($R$3,0,0,'Données projet'!$E$9+1,1))-AVERAGE(OFFSET($H$3,0,0,'Données projet'!$E$9+1,1))</f>
        <v>285.16422150773082</v>
      </c>
      <c r="T163" s="62">
        <f t="shared" si="142"/>
        <v>448.96462312238845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-4.1145540308207271E-13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384.44848355636935</v>
      </c>
      <c r="AO163" s="62">
        <f t="shared" si="144"/>
        <v>203.5274665601915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8.8675733422860506E-14</v>
      </c>
      <c r="BF163" s="14">
        <f t="shared" si="167"/>
        <v>1.3509285393066301E-12</v>
      </c>
      <c r="BG163" s="22">
        <f t="shared" si="168"/>
        <v>2.5073107750038623E-12</v>
      </c>
      <c r="BH163" s="62">
        <f t="shared" si="116"/>
        <v>293.33333333333582</v>
      </c>
      <c r="BI163" s="62">
        <f ca="1">AVERAGE(OFFSET($BH$3,0,0,'Données projet'!$E$11+1,1))-AVERAGE(OFFSET($H$3,0,0,'Données projet'!$E$11+1,1))</f>
        <v>220.70608186257931</v>
      </c>
      <c r="BJ163" s="62">
        <f t="shared" si="146"/>
        <v>208.79744153433245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-1.5252226148732008E-13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310.47303518828346</v>
      </c>
      <c r="CE163" s="62">
        <f t="shared" si="148"/>
        <v>247.30353382335278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1.4897523215040567E-13</v>
      </c>
      <c r="P164" s="14">
        <f t="shared" si="141"/>
        <v>2.136562777003313E-12</v>
      </c>
      <c r="Q164" s="22">
        <f t="shared" si="162"/>
        <v>3.9806453659427267E-12</v>
      </c>
      <c r="R164" s="62">
        <f t="shared" si="109"/>
        <v>293.33333333333729</v>
      </c>
      <c r="S164" s="62">
        <f ca="1">AVERAGE(OFFSET($R$3,0,0,'Données projet'!$E$9+1,1))-AVERAGE(OFFSET($H$3,0,0,'Données projet'!$E$9+1,1))</f>
        <v>285.16422150773082</v>
      </c>
      <c r="T164" s="62">
        <f t="shared" si="142"/>
        <v>448.96462312238845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-4.1145540308207271E-13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384.44848355636935</v>
      </c>
      <c r="AO164" s="62">
        <f t="shared" si="144"/>
        <v>203.5274665601915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8.8675733422860506E-14</v>
      </c>
      <c r="BF164" s="14">
        <f t="shared" si="167"/>
        <v>1.3509285393066301E-12</v>
      </c>
      <c r="BG164" s="22">
        <f t="shared" si="168"/>
        <v>2.5073107750038623E-12</v>
      </c>
      <c r="BH164" s="62">
        <f t="shared" si="116"/>
        <v>293.33333333333582</v>
      </c>
      <c r="BI164" s="62">
        <f ca="1">AVERAGE(OFFSET($BH$3,0,0,'Données projet'!$E$11+1,1))-AVERAGE(OFFSET($H$3,0,0,'Données projet'!$E$11+1,1))</f>
        <v>220.70608186257931</v>
      </c>
      <c r="BJ164" s="62">
        <f t="shared" si="146"/>
        <v>208.79744153433245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-1.5252226148732008E-13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310.47303518828346</v>
      </c>
      <c r="CE164" s="62">
        <f t="shared" si="148"/>
        <v>247.30353382335278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1.4897523215040567E-13</v>
      </c>
      <c r="P165" s="14">
        <f t="shared" si="141"/>
        <v>2.136562777003313E-12</v>
      </c>
      <c r="Q165" s="22">
        <f t="shared" si="162"/>
        <v>3.9806453659427267E-12</v>
      </c>
      <c r="R165" s="62">
        <f t="shared" si="109"/>
        <v>293.33333333333729</v>
      </c>
      <c r="S165" s="62">
        <f ca="1">AVERAGE(OFFSET($R$3,0,0,'Données projet'!$E$9+1,1))-AVERAGE(OFFSET($H$3,0,0,'Données projet'!$E$9+1,1))</f>
        <v>285.16422150773082</v>
      </c>
      <c r="T165" s="62">
        <f t="shared" si="142"/>
        <v>448.96462312238845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-4.1145540308207271E-13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384.44848355636935</v>
      </c>
      <c r="AO165" s="62">
        <f t="shared" si="144"/>
        <v>203.5274665601915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8.8675733422860506E-14</v>
      </c>
      <c r="BF165" s="14">
        <f t="shared" si="167"/>
        <v>1.3509285393066301E-12</v>
      </c>
      <c r="BG165" s="22">
        <f t="shared" si="168"/>
        <v>2.5073107750038623E-12</v>
      </c>
      <c r="BH165" s="62">
        <f t="shared" si="116"/>
        <v>293.33333333333582</v>
      </c>
      <c r="BI165" s="62">
        <f ca="1">AVERAGE(OFFSET($BH$3,0,0,'Données projet'!$E$11+1,1))-AVERAGE(OFFSET($H$3,0,0,'Données projet'!$E$11+1,1))</f>
        <v>220.70608186257931</v>
      </c>
      <c r="BJ165" s="62">
        <f t="shared" si="146"/>
        <v>208.79744153433245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-1.5252226148732008E-13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310.47303518828346</v>
      </c>
      <c r="CE165" s="62">
        <f t="shared" si="148"/>
        <v>247.30353382335278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1.4897523215040567E-13</v>
      </c>
      <c r="P166" s="14">
        <f t="shared" si="141"/>
        <v>2.136562777003313E-12</v>
      </c>
      <c r="Q166" s="22">
        <f t="shared" si="162"/>
        <v>3.9806453659427267E-12</v>
      </c>
      <c r="R166" s="62">
        <f t="shared" si="109"/>
        <v>293.33333333333729</v>
      </c>
      <c r="S166" s="62">
        <f ca="1">AVERAGE(OFFSET($R$3,0,0,'Données projet'!$E$9+1,1))-AVERAGE(OFFSET($H$3,0,0,'Données projet'!$E$9+1,1))</f>
        <v>285.16422150773082</v>
      </c>
      <c r="T166" s="62">
        <f t="shared" si="142"/>
        <v>448.96462312238845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-4.1145540308207271E-13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384.44848355636935</v>
      </c>
      <c r="AO166" s="62">
        <f t="shared" si="144"/>
        <v>203.5274665601915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8.8675733422860506E-14</v>
      </c>
      <c r="BF166" s="14">
        <f t="shared" si="167"/>
        <v>1.3509285393066301E-12</v>
      </c>
      <c r="BG166" s="22">
        <f t="shared" si="168"/>
        <v>2.5073107750038623E-12</v>
      </c>
      <c r="BH166" s="62">
        <f t="shared" si="116"/>
        <v>293.33333333333582</v>
      </c>
      <c r="BI166" s="62">
        <f ca="1">AVERAGE(OFFSET($BH$3,0,0,'Données projet'!$E$11+1,1))-AVERAGE(OFFSET($H$3,0,0,'Données projet'!$E$11+1,1))</f>
        <v>220.70608186257931</v>
      </c>
      <c r="BJ166" s="62">
        <f t="shared" si="146"/>
        <v>208.79744153433245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-1.5252226148732008E-13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310.47303518828346</v>
      </c>
      <c r="CE166" s="62">
        <f t="shared" si="148"/>
        <v>247.30353382335278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1.4897523215040567E-13</v>
      </c>
      <c r="P167" s="14">
        <f t="shared" si="141"/>
        <v>2.136562777003313E-12</v>
      </c>
      <c r="Q167" s="22">
        <f t="shared" si="162"/>
        <v>3.9806453659427267E-12</v>
      </c>
      <c r="R167" s="62">
        <f t="shared" si="109"/>
        <v>293.33333333333729</v>
      </c>
      <c r="S167" s="62">
        <f ca="1">AVERAGE(OFFSET($R$3,0,0,'Données projet'!$E$9+1,1))-AVERAGE(OFFSET($H$3,0,0,'Données projet'!$E$9+1,1))</f>
        <v>285.16422150773082</v>
      </c>
      <c r="T167" s="62">
        <f t="shared" si="142"/>
        <v>448.96462312238845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-4.1145540308207271E-13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384.44848355636935</v>
      </c>
      <c r="AO167" s="62">
        <f t="shared" si="144"/>
        <v>203.5274665601915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8.8675733422860506E-14</v>
      </c>
      <c r="BF167" s="14">
        <f t="shared" si="167"/>
        <v>1.3509285393066301E-12</v>
      </c>
      <c r="BG167" s="22">
        <f t="shared" si="168"/>
        <v>2.5073107750038623E-12</v>
      </c>
      <c r="BH167" s="62">
        <f t="shared" si="116"/>
        <v>293.33333333333582</v>
      </c>
      <c r="BI167" s="62">
        <f ca="1">AVERAGE(OFFSET($BH$3,0,0,'Données projet'!$E$11+1,1))-AVERAGE(OFFSET($H$3,0,0,'Données projet'!$E$11+1,1))</f>
        <v>220.70608186257931</v>
      </c>
      <c r="BJ167" s="62">
        <f t="shared" si="146"/>
        <v>208.79744153433245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-1.5252226148732008E-13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310.47303518828346</v>
      </c>
      <c r="CE167" s="62">
        <f t="shared" si="148"/>
        <v>247.30353382335278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1.4897523215040567E-13</v>
      </c>
      <c r="P168" s="14">
        <f t="shared" si="141"/>
        <v>2.136562777003313E-12</v>
      </c>
      <c r="Q168" s="22">
        <f t="shared" si="162"/>
        <v>3.9806453659427267E-12</v>
      </c>
      <c r="R168" s="62">
        <f t="shared" si="109"/>
        <v>293.33333333333729</v>
      </c>
      <c r="S168" s="62">
        <f ca="1">AVERAGE(OFFSET($R$3,0,0,'Données projet'!$E$9+1,1))-AVERAGE(OFFSET($H$3,0,0,'Données projet'!$E$9+1,1))</f>
        <v>285.16422150773082</v>
      </c>
      <c r="T168" s="62">
        <f t="shared" si="142"/>
        <v>448.96462312238845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-4.1145540308207271E-13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384.44848355636935</v>
      </c>
      <c r="AO168" s="62">
        <f t="shared" si="144"/>
        <v>203.5274665601915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8.8675733422860506E-14</v>
      </c>
      <c r="BF168" s="14">
        <f t="shared" si="167"/>
        <v>1.3509285393066301E-12</v>
      </c>
      <c r="BG168" s="22">
        <f t="shared" si="168"/>
        <v>2.5073107750038623E-12</v>
      </c>
      <c r="BH168" s="62">
        <f t="shared" si="116"/>
        <v>293.33333333333582</v>
      </c>
      <c r="BI168" s="62">
        <f ca="1">AVERAGE(OFFSET($BH$3,0,0,'Données projet'!$E$11+1,1))-AVERAGE(OFFSET($H$3,0,0,'Données projet'!$E$11+1,1))</f>
        <v>220.70608186257931</v>
      </c>
      <c r="BJ168" s="62">
        <f t="shared" si="146"/>
        <v>208.79744153433245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-1.5252226148732008E-13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310.47303518828346</v>
      </c>
      <c r="CE168" s="62">
        <f t="shared" si="148"/>
        <v>247.30353382335278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1.4897523215040567E-13</v>
      </c>
      <c r="P169" s="14">
        <f t="shared" si="141"/>
        <v>2.136562777003313E-12</v>
      </c>
      <c r="Q169" s="22">
        <f t="shared" si="162"/>
        <v>3.9806453659427267E-12</v>
      </c>
      <c r="R169" s="62">
        <f t="shared" si="109"/>
        <v>293.33333333333729</v>
      </c>
      <c r="S169" s="62">
        <f ca="1">AVERAGE(OFFSET($R$3,0,0,'Données projet'!$E$9+1,1))-AVERAGE(OFFSET($H$3,0,0,'Données projet'!$E$9+1,1))</f>
        <v>285.16422150773082</v>
      </c>
      <c r="T169" s="62">
        <f t="shared" si="142"/>
        <v>448.96462312238845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-4.1145540308207271E-13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384.44848355636935</v>
      </c>
      <c r="AO169" s="62">
        <f t="shared" si="144"/>
        <v>203.5274665601915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8.8675733422860506E-14</v>
      </c>
      <c r="BF169" s="14">
        <f t="shared" si="167"/>
        <v>1.3509285393066301E-12</v>
      </c>
      <c r="BG169" s="22">
        <f t="shared" si="168"/>
        <v>2.5073107750038623E-12</v>
      </c>
      <c r="BH169" s="62">
        <f t="shared" si="116"/>
        <v>293.33333333333582</v>
      </c>
      <c r="BI169" s="62">
        <f ca="1">AVERAGE(OFFSET($BH$3,0,0,'Données projet'!$E$11+1,1))-AVERAGE(OFFSET($H$3,0,0,'Données projet'!$E$11+1,1))</f>
        <v>220.70608186257931</v>
      </c>
      <c r="BJ169" s="62">
        <f t="shared" si="146"/>
        <v>208.79744153433245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-1.5252226148732008E-13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310.47303518828346</v>
      </c>
      <c r="CE169" s="62">
        <f t="shared" si="148"/>
        <v>247.30353382335278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1.4897523215040567E-13</v>
      </c>
      <c r="P170" s="14">
        <f t="shared" si="141"/>
        <v>2.136562777003313E-12</v>
      </c>
      <c r="Q170" s="22">
        <f t="shared" si="162"/>
        <v>3.9806453659427267E-12</v>
      </c>
      <c r="R170" s="62">
        <f t="shared" si="109"/>
        <v>293.33333333333729</v>
      </c>
      <c r="S170" s="62">
        <f ca="1">AVERAGE(OFFSET($R$3,0,0,'Données projet'!$E$9+1,1))-AVERAGE(OFFSET($H$3,0,0,'Données projet'!$E$9+1,1))</f>
        <v>285.16422150773082</v>
      </c>
      <c r="T170" s="62">
        <f t="shared" si="142"/>
        <v>448.96462312238845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-4.1145540308207271E-13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384.44848355636935</v>
      </c>
      <c r="AO170" s="62">
        <f t="shared" si="144"/>
        <v>203.5274665601915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8.8675733422860506E-14</v>
      </c>
      <c r="BF170" s="14">
        <f t="shared" si="167"/>
        <v>1.3509285393066301E-12</v>
      </c>
      <c r="BG170" s="22">
        <f t="shared" si="168"/>
        <v>2.5073107750038623E-12</v>
      </c>
      <c r="BH170" s="62">
        <f t="shared" si="116"/>
        <v>293.33333333333582</v>
      </c>
      <c r="BI170" s="62">
        <f ca="1">AVERAGE(OFFSET($BH$3,0,0,'Données projet'!$E$11+1,1))-AVERAGE(OFFSET($H$3,0,0,'Données projet'!$E$11+1,1))</f>
        <v>220.70608186257931</v>
      </c>
      <c r="BJ170" s="62">
        <f t="shared" si="146"/>
        <v>208.79744153433245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-1.5252226148732008E-13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310.47303518828346</v>
      </c>
      <c r="CE170" s="62">
        <f t="shared" si="148"/>
        <v>247.30353382335278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1.4897523215040567E-13</v>
      </c>
      <c r="P171" s="14">
        <f t="shared" si="141"/>
        <v>2.136562777003313E-12</v>
      </c>
      <c r="Q171" s="22">
        <f t="shared" si="162"/>
        <v>3.9806453659427267E-12</v>
      </c>
      <c r="R171" s="62">
        <f t="shared" si="109"/>
        <v>293.33333333333729</v>
      </c>
      <c r="S171" s="62">
        <f ca="1">AVERAGE(OFFSET($R$3,0,0,'Données projet'!$E$9+1,1))-AVERAGE(OFFSET($H$3,0,0,'Données projet'!$E$9+1,1))</f>
        <v>285.16422150773082</v>
      </c>
      <c r="T171" s="62">
        <f t="shared" si="142"/>
        <v>448.96462312238845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-4.1145540308207271E-13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384.44848355636935</v>
      </c>
      <c r="AO171" s="62">
        <f t="shared" si="144"/>
        <v>203.5274665601915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8.8675733422860506E-14</v>
      </c>
      <c r="BF171" s="14">
        <f t="shared" si="167"/>
        <v>1.3509285393066301E-12</v>
      </c>
      <c r="BG171" s="22">
        <f t="shared" si="168"/>
        <v>2.5073107750038623E-12</v>
      </c>
      <c r="BH171" s="62">
        <f t="shared" si="116"/>
        <v>293.33333333333582</v>
      </c>
      <c r="BI171" s="62">
        <f ca="1">AVERAGE(OFFSET($BH$3,0,0,'Données projet'!$E$11+1,1))-AVERAGE(OFFSET($H$3,0,0,'Données projet'!$E$11+1,1))</f>
        <v>220.70608186257931</v>
      </c>
      <c r="BJ171" s="62">
        <f t="shared" si="146"/>
        <v>208.79744153433245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-1.5252226148732008E-13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310.47303518828346</v>
      </c>
      <c r="CE171" s="62">
        <f t="shared" si="148"/>
        <v>247.30353382335278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1.4897523215040567E-13</v>
      </c>
      <c r="P172" s="14">
        <f t="shared" si="141"/>
        <v>2.136562777003313E-12</v>
      </c>
      <c r="Q172" s="22">
        <f t="shared" si="162"/>
        <v>3.9806453659427267E-12</v>
      </c>
      <c r="R172" s="62">
        <f t="shared" si="109"/>
        <v>293.33333333333729</v>
      </c>
      <c r="S172" s="62">
        <f ca="1">AVERAGE(OFFSET($R$3,0,0,'Données projet'!$E$9+1,1))-AVERAGE(OFFSET($H$3,0,0,'Données projet'!$E$9+1,1))</f>
        <v>285.16422150773082</v>
      </c>
      <c r="T172" s="62">
        <f t="shared" si="142"/>
        <v>448.96462312238845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-4.1145540308207271E-13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384.44848355636935</v>
      </c>
      <c r="AO172" s="62">
        <f t="shared" si="144"/>
        <v>203.5274665601915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8.8675733422860506E-14</v>
      </c>
      <c r="BF172" s="14">
        <f t="shared" si="167"/>
        <v>1.3509285393066301E-12</v>
      </c>
      <c r="BG172" s="22">
        <f t="shared" si="168"/>
        <v>2.5073107750038623E-12</v>
      </c>
      <c r="BH172" s="62">
        <f t="shared" si="116"/>
        <v>293.33333333333582</v>
      </c>
      <c r="BI172" s="62">
        <f ca="1">AVERAGE(OFFSET($BH$3,0,0,'Données projet'!$E$11+1,1))-AVERAGE(OFFSET($H$3,0,0,'Données projet'!$E$11+1,1))</f>
        <v>220.70608186257931</v>
      </c>
      <c r="BJ172" s="62">
        <f t="shared" si="146"/>
        <v>208.79744153433245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-1.5252226148732008E-13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310.47303518828346</v>
      </c>
      <c r="CE172" s="62">
        <f t="shared" si="148"/>
        <v>247.30353382335278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1.4897523215040567E-13</v>
      </c>
      <c r="P173" s="14">
        <f t="shared" si="141"/>
        <v>2.136562777003313E-12</v>
      </c>
      <c r="Q173" s="22">
        <f t="shared" si="162"/>
        <v>3.9806453659427267E-12</v>
      </c>
      <c r="R173" s="62">
        <f t="shared" si="109"/>
        <v>293.33333333333729</v>
      </c>
      <c r="S173" s="62">
        <f ca="1">AVERAGE(OFFSET($R$3,0,0,'Données projet'!$E$9+1,1))-AVERAGE(OFFSET($H$3,0,0,'Données projet'!$E$9+1,1))</f>
        <v>285.16422150773082</v>
      </c>
      <c r="T173" s="62">
        <f t="shared" si="142"/>
        <v>448.96462312238845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-4.1145540308207271E-13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384.44848355636935</v>
      </c>
      <c r="AO173" s="62">
        <f t="shared" si="144"/>
        <v>203.5274665601915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8.8675733422860506E-14</v>
      </c>
      <c r="BF173" s="14">
        <f t="shared" si="167"/>
        <v>1.3509285393066301E-12</v>
      </c>
      <c r="BG173" s="22">
        <f t="shared" si="168"/>
        <v>2.5073107750038623E-12</v>
      </c>
      <c r="BH173" s="62">
        <f t="shared" si="116"/>
        <v>293.33333333333582</v>
      </c>
      <c r="BI173" s="62">
        <f ca="1">AVERAGE(OFFSET($BH$3,0,0,'Données projet'!$E$11+1,1))-AVERAGE(OFFSET($H$3,0,0,'Données projet'!$E$11+1,1))</f>
        <v>220.70608186257931</v>
      </c>
      <c r="BJ173" s="62">
        <f t="shared" si="146"/>
        <v>208.79744153433245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-1.5252226148732008E-13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310.47303518828346</v>
      </c>
      <c r="CE173" s="62">
        <f t="shared" si="148"/>
        <v>247.30353382335278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1.4897523215040567E-13</v>
      </c>
      <c r="P174" s="14">
        <f t="shared" si="141"/>
        <v>2.136562777003313E-12</v>
      </c>
      <c r="Q174" s="22">
        <f t="shared" si="162"/>
        <v>3.9806453659427267E-12</v>
      </c>
      <c r="R174" s="62">
        <f t="shared" si="109"/>
        <v>293.33333333333729</v>
      </c>
      <c r="S174" s="62">
        <f ca="1">AVERAGE(OFFSET($R$3,0,0,'Données projet'!$E$9+1,1))-AVERAGE(OFFSET($H$3,0,0,'Données projet'!$E$9+1,1))</f>
        <v>285.16422150773082</v>
      </c>
      <c r="T174" s="62">
        <f t="shared" si="142"/>
        <v>448.96462312238845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-4.1145540308207271E-13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384.44848355636935</v>
      </c>
      <c r="AO174" s="62">
        <f t="shared" si="144"/>
        <v>203.5274665601915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8.8675733422860506E-14</v>
      </c>
      <c r="BF174" s="14">
        <f t="shared" si="167"/>
        <v>1.3509285393066301E-12</v>
      </c>
      <c r="BG174" s="22">
        <f t="shared" si="168"/>
        <v>2.5073107750038623E-12</v>
      </c>
      <c r="BH174" s="62">
        <f t="shared" si="116"/>
        <v>293.33333333333582</v>
      </c>
      <c r="BI174" s="62">
        <f ca="1">AVERAGE(OFFSET($BH$3,0,0,'Données projet'!$E$11+1,1))-AVERAGE(OFFSET($H$3,0,0,'Données projet'!$E$11+1,1))</f>
        <v>220.70608186257931</v>
      </c>
      <c r="BJ174" s="62">
        <f t="shared" si="146"/>
        <v>208.79744153433245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-1.5252226148732008E-13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310.47303518828346</v>
      </c>
      <c r="CE174" s="62">
        <f t="shared" si="148"/>
        <v>247.30353382335278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1.4897523215040567E-13</v>
      </c>
      <c r="P175" s="14">
        <f t="shared" si="141"/>
        <v>2.136562777003313E-12</v>
      </c>
      <c r="Q175" s="22">
        <f t="shared" si="162"/>
        <v>3.9806453659427267E-12</v>
      </c>
      <c r="R175" s="62">
        <f t="shared" si="109"/>
        <v>293.33333333333729</v>
      </c>
      <c r="S175" s="62">
        <f ca="1">AVERAGE(OFFSET($R$3,0,0,'Données projet'!$E$9+1,1))-AVERAGE(OFFSET($H$3,0,0,'Données projet'!$E$9+1,1))</f>
        <v>285.16422150773082</v>
      </c>
      <c r="T175" s="62">
        <f t="shared" si="142"/>
        <v>448.96462312238845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-4.1145540308207271E-13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384.44848355636935</v>
      </c>
      <c r="AO175" s="62">
        <f t="shared" si="144"/>
        <v>203.5274665601915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8.8675733422860506E-14</v>
      </c>
      <c r="BF175" s="14">
        <f t="shared" si="167"/>
        <v>1.3509285393066301E-12</v>
      </c>
      <c r="BG175" s="22">
        <f t="shared" si="168"/>
        <v>2.5073107750038623E-12</v>
      </c>
      <c r="BH175" s="62">
        <f t="shared" si="116"/>
        <v>293.33333333333582</v>
      </c>
      <c r="BI175" s="62">
        <f ca="1">AVERAGE(OFFSET($BH$3,0,0,'Données projet'!$E$11+1,1))-AVERAGE(OFFSET($H$3,0,0,'Données projet'!$E$11+1,1))</f>
        <v>220.70608186257931</v>
      </c>
      <c r="BJ175" s="62">
        <f t="shared" si="146"/>
        <v>208.79744153433245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-1.5252226148732008E-13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310.47303518828346</v>
      </c>
      <c r="CE175" s="62">
        <f t="shared" si="148"/>
        <v>247.30353382335278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1.4897523215040567E-13</v>
      </c>
      <c r="P176" s="14">
        <f t="shared" si="141"/>
        <v>2.136562777003313E-12</v>
      </c>
      <c r="Q176" s="22">
        <f t="shared" si="162"/>
        <v>3.9806453659427267E-12</v>
      </c>
      <c r="R176" s="62">
        <f t="shared" si="109"/>
        <v>293.33333333333729</v>
      </c>
      <c r="S176" s="62">
        <f ca="1">AVERAGE(OFFSET($R$3,0,0,'Données projet'!$E$9+1,1))-AVERAGE(OFFSET($H$3,0,0,'Données projet'!$E$9+1,1))</f>
        <v>285.16422150773082</v>
      </c>
      <c r="T176" s="62">
        <f t="shared" si="142"/>
        <v>448.96462312238845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-4.1145540308207271E-13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384.44848355636935</v>
      </c>
      <c r="AO176" s="62">
        <f t="shared" si="144"/>
        <v>203.5274665601915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8.8675733422860506E-14</v>
      </c>
      <c r="BF176" s="14">
        <f t="shared" si="167"/>
        <v>1.3509285393066301E-12</v>
      </c>
      <c r="BG176" s="22">
        <f t="shared" si="168"/>
        <v>2.5073107750038623E-12</v>
      </c>
      <c r="BH176" s="62">
        <f t="shared" si="116"/>
        <v>293.33333333333582</v>
      </c>
      <c r="BI176" s="62">
        <f ca="1">AVERAGE(OFFSET($BH$3,0,0,'Données projet'!$E$11+1,1))-AVERAGE(OFFSET($H$3,0,0,'Données projet'!$E$11+1,1))</f>
        <v>220.70608186257931</v>
      </c>
      <c r="BJ176" s="62">
        <f t="shared" si="146"/>
        <v>208.79744153433245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-1.5252226148732008E-13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310.47303518828346</v>
      </c>
      <c r="CE176" s="62">
        <f t="shared" si="148"/>
        <v>247.30353382335278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1.4897523215040567E-13</v>
      </c>
      <c r="P177" s="14">
        <f t="shared" si="141"/>
        <v>2.136562777003313E-12</v>
      </c>
      <c r="Q177" s="22">
        <f t="shared" si="162"/>
        <v>3.9806453659427267E-12</v>
      </c>
      <c r="R177" s="62">
        <f t="shared" si="109"/>
        <v>293.33333333333729</v>
      </c>
      <c r="S177" s="62">
        <f ca="1">AVERAGE(OFFSET($R$3,0,0,'Données projet'!$E$9+1,1))-AVERAGE(OFFSET($H$3,0,0,'Données projet'!$E$9+1,1))</f>
        <v>285.16422150773082</v>
      </c>
      <c r="T177" s="62">
        <f t="shared" si="142"/>
        <v>448.96462312238845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-4.1145540308207271E-13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384.44848355636935</v>
      </c>
      <c r="AO177" s="62">
        <f t="shared" si="144"/>
        <v>203.5274665601915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8.8675733422860506E-14</v>
      </c>
      <c r="BF177" s="14">
        <f t="shared" si="167"/>
        <v>1.3509285393066301E-12</v>
      </c>
      <c r="BG177" s="22">
        <f t="shared" si="168"/>
        <v>2.5073107750038623E-12</v>
      </c>
      <c r="BH177" s="62">
        <f t="shared" si="116"/>
        <v>293.33333333333582</v>
      </c>
      <c r="BI177" s="62">
        <f ca="1">AVERAGE(OFFSET($BH$3,0,0,'Données projet'!$E$11+1,1))-AVERAGE(OFFSET($H$3,0,0,'Données projet'!$E$11+1,1))</f>
        <v>220.70608186257931</v>
      </c>
      <c r="BJ177" s="62">
        <f t="shared" si="146"/>
        <v>208.79744153433245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-1.5252226148732008E-13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310.47303518828346</v>
      </c>
      <c r="CE177" s="62">
        <f t="shared" si="148"/>
        <v>247.30353382335278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1.4897523215040567E-13</v>
      </c>
      <c r="P178" s="14">
        <f t="shared" si="141"/>
        <v>2.136562777003313E-12</v>
      </c>
      <c r="Q178" s="22">
        <f t="shared" si="162"/>
        <v>3.9806453659427267E-12</v>
      </c>
      <c r="R178" s="62">
        <f t="shared" si="109"/>
        <v>293.33333333333729</v>
      </c>
      <c r="S178" s="62">
        <f ca="1">AVERAGE(OFFSET($R$3,0,0,'Données projet'!$E$9+1,1))-AVERAGE(OFFSET($H$3,0,0,'Données projet'!$E$9+1,1))</f>
        <v>285.16422150773082</v>
      </c>
      <c r="T178" s="62">
        <f t="shared" si="142"/>
        <v>448.96462312238845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-4.1145540308207271E-13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384.44848355636935</v>
      </c>
      <c r="AO178" s="62">
        <f t="shared" si="144"/>
        <v>203.5274665601915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8.8675733422860506E-14</v>
      </c>
      <c r="BF178" s="14">
        <f t="shared" si="167"/>
        <v>1.3509285393066301E-12</v>
      </c>
      <c r="BG178" s="22">
        <f t="shared" si="168"/>
        <v>2.5073107750038623E-12</v>
      </c>
      <c r="BH178" s="62">
        <f t="shared" si="116"/>
        <v>293.33333333333582</v>
      </c>
      <c r="BI178" s="62">
        <f ca="1">AVERAGE(OFFSET($BH$3,0,0,'Données projet'!$E$11+1,1))-AVERAGE(OFFSET($H$3,0,0,'Données projet'!$E$11+1,1))</f>
        <v>220.70608186257931</v>
      </c>
      <c r="BJ178" s="62">
        <f t="shared" si="146"/>
        <v>208.79744153433245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-1.5252226148732008E-13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310.47303518828346</v>
      </c>
      <c r="CE178" s="62">
        <f t="shared" si="148"/>
        <v>247.30353382335278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1.4897523215040567E-13</v>
      </c>
      <c r="P179" s="14">
        <f t="shared" si="141"/>
        <v>2.136562777003313E-12</v>
      </c>
      <c r="Q179" s="22">
        <f t="shared" si="162"/>
        <v>3.9806453659427267E-12</v>
      </c>
      <c r="R179" s="62">
        <f t="shared" si="109"/>
        <v>293.33333333333729</v>
      </c>
      <c r="S179" s="62">
        <f ca="1">AVERAGE(OFFSET($R$3,0,0,'Données projet'!$E$9+1,1))-AVERAGE(OFFSET($H$3,0,0,'Données projet'!$E$9+1,1))</f>
        <v>285.16422150773082</v>
      </c>
      <c r="T179" s="62">
        <f t="shared" si="142"/>
        <v>448.96462312238845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-4.1145540308207271E-13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384.44848355636935</v>
      </c>
      <c r="AO179" s="62">
        <f t="shared" si="144"/>
        <v>203.5274665601915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8.8675733422860506E-14</v>
      </c>
      <c r="BF179" s="14">
        <f t="shared" si="167"/>
        <v>1.3509285393066301E-12</v>
      </c>
      <c r="BG179" s="22">
        <f t="shared" si="168"/>
        <v>2.5073107750038623E-12</v>
      </c>
      <c r="BH179" s="62">
        <f t="shared" si="116"/>
        <v>293.33333333333582</v>
      </c>
      <c r="BI179" s="62">
        <f ca="1">AVERAGE(OFFSET($BH$3,0,0,'Données projet'!$E$11+1,1))-AVERAGE(OFFSET($H$3,0,0,'Données projet'!$E$11+1,1))</f>
        <v>220.70608186257931</v>
      </c>
      <c r="BJ179" s="62">
        <f t="shared" si="146"/>
        <v>208.79744153433245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-1.5252226148732008E-13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310.47303518828346</v>
      </c>
      <c r="CE179" s="62">
        <f t="shared" si="148"/>
        <v>247.30353382335278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1.4897523215040567E-13</v>
      </c>
      <c r="P180" s="14">
        <f t="shared" si="141"/>
        <v>2.136562777003313E-12</v>
      </c>
      <c r="Q180" s="22">
        <f t="shared" si="162"/>
        <v>3.9806453659427267E-12</v>
      </c>
      <c r="R180" s="62">
        <f t="shared" si="109"/>
        <v>293.33333333333729</v>
      </c>
      <c r="S180" s="62">
        <f ca="1">AVERAGE(OFFSET($R$3,0,0,'Données projet'!$E$9+1,1))-AVERAGE(OFFSET($H$3,0,0,'Données projet'!$E$9+1,1))</f>
        <v>285.16422150773082</v>
      </c>
      <c r="T180" s="62">
        <f t="shared" si="142"/>
        <v>448.96462312238845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-4.1145540308207271E-13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384.44848355636935</v>
      </c>
      <c r="AO180" s="62">
        <f t="shared" si="144"/>
        <v>203.5274665601915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8.8675733422860506E-14</v>
      </c>
      <c r="BF180" s="14">
        <f t="shared" si="167"/>
        <v>1.3509285393066301E-12</v>
      </c>
      <c r="BG180" s="22">
        <f t="shared" si="168"/>
        <v>2.5073107750038623E-12</v>
      </c>
      <c r="BH180" s="62">
        <f t="shared" si="116"/>
        <v>293.33333333333582</v>
      </c>
      <c r="BI180" s="62">
        <f ca="1">AVERAGE(OFFSET($BH$3,0,0,'Données projet'!$E$11+1,1))-AVERAGE(OFFSET($H$3,0,0,'Données projet'!$E$11+1,1))</f>
        <v>220.70608186257931</v>
      </c>
      <c r="BJ180" s="62">
        <f t="shared" si="146"/>
        <v>208.79744153433245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-1.5252226148732008E-13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310.47303518828346</v>
      </c>
      <c r="CE180" s="62">
        <f t="shared" si="148"/>
        <v>247.30353382335278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1.4897523215040567E-13</v>
      </c>
      <c r="P181" s="14">
        <f t="shared" si="141"/>
        <v>2.136562777003313E-12</v>
      </c>
      <c r="Q181" s="22">
        <f t="shared" si="162"/>
        <v>3.9806453659427267E-12</v>
      </c>
      <c r="R181" s="62">
        <f t="shared" si="109"/>
        <v>293.33333333333729</v>
      </c>
      <c r="S181" s="62">
        <f ca="1">AVERAGE(OFFSET($R$3,0,0,'Données projet'!$E$9+1,1))-AVERAGE(OFFSET($H$3,0,0,'Données projet'!$E$9+1,1))</f>
        <v>285.16422150773082</v>
      </c>
      <c r="T181" s="62">
        <f t="shared" si="142"/>
        <v>448.96462312238845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-4.1145540308207271E-13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384.44848355636935</v>
      </c>
      <c r="AO181" s="62">
        <f t="shared" si="144"/>
        <v>203.5274665601915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8.8675733422860506E-14</v>
      </c>
      <c r="BF181" s="14">
        <f t="shared" si="167"/>
        <v>1.3509285393066301E-12</v>
      </c>
      <c r="BG181" s="22">
        <f t="shared" si="168"/>
        <v>2.5073107750038623E-12</v>
      </c>
      <c r="BH181" s="62">
        <f t="shared" si="116"/>
        <v>293.33333333333582</v>
      </c>
      <c r="BI181" s="62">
        <f ca="1">AVERAGE(OFFSET($BH$3,0,0,'Données projet'!$E$11+1,1))-AVERAGE(OFFSET($H$3,0,0,'Données projet'!$E$11+1,1))</f>
        <v>220.70608186257931</v>
      </c>
      <c r="BJ181" s="62">
        <f t="shared" si="146"/>
        <v>208.79744153433245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-1.5252226148732008E-13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310.47303518828346</v>
      </c>
      <c r="CE181" s="62">
        <f t="shared" si="148"/>
        <v>247.30353382335278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1.4897523215040567E-13</v>
      </c>
      <c r="P182" s="14">
        <f t="shared" si="141"/>
        <v>2.136562777003313E-12</v>
      </c>
      <c r="Q182" s="22">
        <f t="shared" si="162"/>
        <v>3.9806453659427267E-12</v>
      </c>
      <c r="R182" s="62">
        <f t="shared" si="109"/>
        <v>293.33333333333729</v>
      </c>
      <c r="S182" s="62">
        <f ca="1">AVERAGE(OFFSET($R$3,0,0,'Données projet'!$E$9+1,1))-AVERAGE(OFFSET($H$3,0,0,'Données projet'!$E$9+1,1))</f>
        <v>285.16422150773082</v>
      </c>
      <c r="T182" s="62">
        <f t="shared" si="142"/>
        <v>448.96462312238845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-4.1145540308207271E-13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384.44848355636935</v>
      </c>
      <c r="AO182" s="62">
        <f t="shared" si="144"/>
        <v>203.5274665601915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8.8675733422860506E-14</v>
      </c>
      <c r="BF182" s="14">
        <f t="shared" si="167"/>
        <v>1.3509285393066301E-12</v>
      </c>
      <c r="BG182" s="22">
        <f t="shared" si="168"/>
        <v>2.5073107750038623E-12</v>
      </c>
      <c r="BH182" s="62">
        <f t="shared" si="116"/>
        <v>293.33333333333582</v>
      </c>
      <c r="BI182" s="62">
        <f ca="1">AVERAGE(OFFSET($BH$3,0,0,'Données projet'!$E$11+1,1))-AVERAGE(OFFSET($H$3,0,0,'Données projet'!$E$11+1,1))</f>
        <v>220.70608186257931</v>
      </c>
      <c r="BJ182" s="62">
        <f t="shared" si="146"/>
        <v>208.79744153433245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-1.5252226148732008E-13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310.47303518828346</v>
      </c>
      <c r="CE182" s="62">
        <f t="shared" si="148"/>
        <v>247.30353382335278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1.4897523215040567E-13</v>
      </c>
      <c r="P183" s="14">
        <f t="shared" si="141"/>
        <v>2.136562777003313E-12</v>
      </c>
      <c r="Q183" s="22">
        <f t="shared" si="162"/>
        <v>3.9806453659427267E-12</v>
      </c>
      <c r="R183" s="62">
        <f t="shared" si="109"/>
        <v>293.33333333333729</v>
      </c>
      <c r="S183" s="62">
        <f ca="1">AVERAGE(OFFSET($R$3,0,0,'Données projet'!$E$9+1,1))-AVERAGE(OFFSET($H$3,0,0,'Données projet'!$E$9+1,1))</f>
        <v>285.16422150773082</v>
      </c>
      <c r="T183" s="62">
        <f t="shared" si="142"/>
        <v>448.96462312238845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-4.1145540308207271E-13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384.44848355636935</v>
      </c>
      <c r="AO183" s="62">
        <f t="shared" si="144"/>
        <v>203.5274665601915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8.8675733422860506E-14</v>
      </c>
      <c r="BF183" s="14">
        <f t="shared" si="167"/>
        <v>1.3509285393066301E-12</v>
      </c>
      <c r="BG183" s="22">
        <f t="shared" si="168"/>
        <v>2.5073107750038623E-12</v>
      </c>
      <c r="BH183" s="62">
        <f t="shared" si="116"/>
        <v>293.33333333333582</v>
      </c>
      <c r="BI183" s="62">
        <f ca="1">AVERAGE(OFFSET($BH$3,0,0,'Données projet'!$E$11+1,1))-AVERAGE(OFFSET($H$3,0,0,'Données projet'!$E$11+1,1))</f>
        <v>220.70608186257931</v>
      </c>
      <c r="BJ183" s="62">
        <f t="shared" si="146"/>
        <v>208.79744153433245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-1.5252226148732008E-13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310.47303518828346</v>
      </c>
      <c r="CE183" s="62">
        <f t="shared" si="148"/>
        <v>247.30353382335278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1.4897523215040567E-13</v>
      </c>
      <c r="P184" s="14">
        <f t="shared" si="141"/>
        <v>2.136562777003313E-12</v>
      </c>
      <c r="Q184" s="22">
        <f t="shared" si="162"/>
        <v>3.9806453659427267E-12</v>
      </c>
      <c r="R184" s="62">
        <f t="shared" si="109"/>
        <v>293.33333333333729</v>
      </c>
      <c r="S184" s="62">
        <f ca="1">AVERAGE(OFFSET($R$3,0,0,'Données projet'!$E$9+1,1))-AVERAGE(OFFSET($H$3,0,0,'Données projet'!$E$9+1,1))</f>
        <v>285.16422150773082</v>
      </c>
      <c r="T184" s="62">
        <f t="shared" si="142"/>
        <v>448.96462312238845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-4.1145540308207271E-13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384.44848355636935</v>
      </c>
      <c r="AO184" s="62">
        <f t="shared" si="144"/>
        <v>203.5274665601915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8.8675733422860506E-14</v>
      </c>
      <c r="BF184" s="14">
        <f t="shared" si="167"/>
        <v>1.3509285393066301E-12</v>
      </c>
      <c r="BG184" s="22">
        <f t="shared" si="168"/>
        <v>2.5073107750038623E-12</v>
      </c>
      <c r="BH184" s="62">
        <f t="shared" si="116"/>
        <v>293.33333333333582</v>
      </c>
      <c r="BI184" s="62">
        <f ca="1">AVERAGE(OFFSET($BH$3,0,0,'Données projet'!$E$11+1,1))-AVERAGE(OFFSET($H$3,0,0,'Données projet'!$E$11+1,1))</f>
        <v>220.70608186257931</v>
      </c>
      <c r="BJ184" s="62">
        <f t="shared" si="146"/>
        <v>208.79744153433245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-1.5252226148732008E-13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310.47303518828346</v>
      </c>
      <c r="CE184" s="62">
        <f t="shared" si="148"/>
        <v>247.30353382335278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1.4897523215040567E-13</v>
      </c>
      <c r="P185" s="14">
        <f t="shared" si="141"/>
        <v>2.136562777003313E-12</v>
      </c>
      <c r="Q185" s="22">
        <f t="shared" si="162"/>
        <v>3.9806453659427267E-12</v>
      </c>
      <c r="R185" s="62">
        <f t="shared" si="109"/>
        <v>293.33333333333729</v>
      </c>
      <c r="S185" s="62">
        <f ca="1">AVERAGE(OFFSET($R$3,0,0,'Données projet'!$E$9+1,1))-AVERAGE(OFFSET($H$3,0,0,'Données projet'!$E$9+1,1))</f>
        <v>285.16422150773082</v>
      </c>
      <c r="T185" s="62">
        <f t="shared" si="142"/>
        <v>448.96462312238845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-4.1145540308207271E-13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384.44848355636935</v>
      </c>
      <c r="AO185" s="62">
        <f t="shared" si="144"/>
        <v>203.5274665601915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8.8675733422860506E-14</v>
      </c>
      <c r="BF185" s="14">
        <f t="shared" si="167"/>
        <v>1.3509285393066301E-12</v>
      </c>
      <c r="BG185" s="22">
        <f t="shared" si="168"/>
        <v>2.5073107750038623E-12</v>
      </c>
      <c r="BH185" s="62">
        <f t="shared" si="116"/>
        <v>293.33333333333582</v>
      </c>
      <c r="BI185" s="62">
        <f ca="1">AVERAGE(OFFSET($BH$3,0,0,'Données projet'!$E$11+1,1))-AVERAGE(OFFSET($H$3,0,0,'Données projet'!$E$11+1,1))</f>
        <v>220.70608186257931</v>
      </c>
      <c r="BJ185" s="62">
        <f t="shared" si="146"/>
        <v>208.79744153433245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-1.5252226148732008E-13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310.47303518828346</v>
      </c>
      <c r="CE185" s="62">
        <f t="shared" si="148"/>
        <v>247.30353382335278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1.4897523215040567E-13</v>
      </c>
      <c r="P186" s="14">
        <f t="shared" si="141"/>
        <v>2.136562777003313E-12</v>
      </c>
      <c r="Q186" s="22">
        <f t="shared" si="162"/>
        <v>3.9806453659427267E-12</v>
      </c>
      <c r="R186" s="62">
        <f t="shared" si="109"/>
        <v>293.33333333333729</v>
      </c>
      <c r="S186" s="62">
        <f ca="1">AVERAGE(OFFSET($R$3,0,0,'Données projet'!$E$9+1,1))-AVERAGE(OFFSET($H$3,0,0,'Données projet'!$E$9+1,1))</f>
        <v>285.16422150773082</v>
      </c>
      <c r="T186" s="62">
        <f t="shared" si="142"/>
        <v>448.96462312238845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-4.1145540308207271E-13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384.44848355636935</v>
      </c>
      <c r="AO186" s="62">
        <f t="shared" si="144"/>
        <v>203.5274665601915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8.8675733422860506E-14</v>
      </c>
      <c r="BF186" s="14">
        <f t="shared" si="167"/>
        <v>1.3509285393066301E-12</v>
      </c>
      <c r="BG186" s="22">
        <f t="shared" si="168"/>
        <v>2.5073107750038623E-12</v>
      </c>
      <c r="BH186" s="62">
        <f t="shared" si="116"/>
        <v>293.33333333333582</v>
      </c>
      <c r="BI186" s="62">
        <f ca="1">AVERAGE(OFFSET($BH$3,0,0,'Données projet'!$E$11+1,1))-AVERAGE(OFFSET($H$3,0,0,'Données projet'!$E$11+1,1))</f>
        <v>220.70608186257931</v>
      </c>
      <c r="BJ186" s="62">
        <f t="shared" si="146"/>
        <v>208.79744153433245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-1.5252226148732008E-13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310.47303518828346</v>
      </c>
      <c r="CE186" s="62">
        <f t="shared" si="148"/>
        <v>247.30353382335278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1.4897523215040567E-13</v>
      </c>
      <c r="P187" s="14">
        <f t="shared" si="141"/>
        <v>2.136562777003313E-12</v>
      </c>
      <c r="Q187" s="22">
        <f t="shared" si="162"/>
        <v>3.9806453659427267E-12</v>
      </c>
      <c r="R187" s="62">
        <f t="shared" si="109"/>
        <v>293.33333333333729</v>
      </c>
      <c r="S187" s="62">
        <f ca="1">AVERAGE(OFFSET($R$3,0,0,'Données projet'!$E$9+1,1))-AVERAGE(OFFSET($H$3,0,0,'Données projet'!$E$9+1,1))</f>
        <v>285.16422150773082</v>
      </c>
      <c r="T187" s="62">
        <f t="shared" si="142"/>
        <v>448.96462312238845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-4.1145540308207271E-13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384.44848355636935</v>
      </c>
      <c r="AO187" s="62">
        <f t="shared" si="144"/>
        <v>203.5274665601915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8.8675733422860506E-14</v>
      </c>
      <c r="BF187" s="14">
        <f t="shared" si="167"/>
        <v>1.3509285393066301E-12</v>
      </c>
      <c r="BG187" s="22">
        <f t="shared" si="168"/>
        <v>2.5073107750038623E-12</v>
      </c>
      <c r="BH187" s="62">
        <f t="shared" si="116"/>
        <v>293.33333333333582</v>
      </c>
      <c r="BI187" s="62">
        <f ca="1">AVERAGE(OFFSET($BH$3,0,0,'Données projet'!$E$11+1,1))-AVERAGE(OFFSET($H$3,0,0,'Données projet'!$E$11+1,1))</f>
        <v>220.70608186257931</v>
      </c>
      <c r="BJ187" s="62">
        <f t="shared" si="146"/>
        <v>208.79744153433245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-1.5252226148732008E-13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310.47303518828346</v>
      </c>
      <c r="CE187" s="62">
        <f t="shared" si="148"/>
        <v>247.30353382335278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1.4897523215040567E-13</v>
      </c>
      <c r="P188" s="14">
        <f t="shared" si="141"/>
        <v>2.136562777003313E-12</v>
      </c>
      <c r="Q188" s="22">
        <f t="shared" si="162"/>
        <v>3.9806453659427267E-12</v>
      </c>
      <c r="R188" s="62">
        <f t="shared" si="109"/>
        <v>293.33333333333729</v>
      </c>
      <c r="S188" s="62">
        <f ca="1">AVERAGE(OFFSET($R$3,0,0,'Données projet'!$E$9+1,1))-AVERAGE(OFFSET($H$3,0,0,'Données projet'!$E$9+1,1))</f>
        <v>285.16422150773082</v>
      </c>
      <c r="T188" s="62">
        <f t="shared" si="142"/>
        <v>448.96462312238845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-4.1145540308207271E-13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384.44848355636935</v>
      </c>
      <c r="AO188" s="62">
        <f t="shared" si="144"/>
        <v>203.5274665601915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8.8675733422860506E-14</v>
      </c>
      <c r="BF188" s="14">
        <f t="shared" si="167"/>
        <v>1.3509285393066301E-12</v>
      </c>
      <c r="BG188" s="22">
        <f t="shared" si="168"/>
        <v>2.5073107750038623E-12</v>
      </c>
      <c r="BH188" s="62">
        <f t="shared" si="116"/>
        <v>293.33333333333582</v>
      </c>
      <c r="BI188" s="62">
        <f ca="1">AVERAGE(OFFSET($BH$3,0,0,'Données projet'!$E$11+1,1))-AVERAGE(OFFSET($H$3,0,0,'Données projet'!$E$11+1,1))</f>
        <v>220.70608186257931</v>
      </c>
      <c r="BJ188" s="62">
        <f t="shared" si="146"/>
        <v>208.79744153433245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-1.5252226148732008E-13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310.47303518828346</v>
      </c>
      <c r="CE188" s="62">
        <f t="shared" si="148"/>
        <v>247.30353382335278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1.4897523215040567E-13</v>
      </c>
      <c r="P189" s="14">
        <f t="shared" si="141"/>
        <v>2.136562777003313E-12</v>
      </c>
      <c r="Q189" s="22">
        <f t="shared" si="162"/>
        <v>3.9806453659427267E-12</v>
      </c>
      <c r="R189" s="62">
        <f t="shared" si="109"/>
        <v>293.33333333333729</v>
      </c>
      <c r="S189" s="62">
        <f ca="1">AVERAGE(OFFSET($R$3,0,0,'Données projet'!$E$9+1,1))-AVERAGE(OFFSET($H$3,0,0,'Données projet'!$E$9+1,1))</f>
        <v>285.16422150773082</v>
      </c>
      <c r="T189" s="62">
        <f t="shared" si="142"/>
        <v>448.96462312238845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-4.1145540308207271E-13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384.44848355636935</v>
      </c>
      <c r="AO189" s="62">
        <f t="shared" si="144"/>
        <v>203.5274665601915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8.8675733422860506E-14</v>
      </c>
      <c r="BF189" s="14">
        <f t="shared" si="167"/>
        <v>1.3509285393066301E-12</v>
      </c>
      <c r="BG189" s="22">
        <f t="shared" si="168"/>
        <v>2.5073107750038623E-12</v>
      </c>
      <c r="BH189" s="62">
        <f t="shared" si="116"/>
        <v>293.33333333333582</v>
      </c>
      <c r="BI189" s="62">
        <f ca="1">AVERAGE(OFFSET($BH$3,0,0,'Données projet'!$E$11+1,1))-AVERAGE(OFFSET($H$3,0,0,'Données projet'!$E$11+1,1))</f>
        <v>220.70608186257931</v>
      </c>
      <c r="BJ189" s="62">
        <f t="shared" si="146"/>
        <v>208.79744153433245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-1.5252226148732008E-13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310.47303518828346</v>
      </c>
      <c r="CE189" s="62">
        <f t="shared" si="148"/>
        <v>247.30353382335278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1.4897523215040567E-13</v>
      </c>
      <c r="P190" s="14">
        <f t="shared" si="141"/>
        <v>2.136562777003313E-12</v>
      </c>
      <c r="Q190" s="22">
        <f t="shared" si="162"/>
        <v>3.9806453659427267E-12</v>
      </c>
      <c r="R190" s="62">
        <f t="shared" si="109"/>
        <v>293.33333333333729</v>
      </c>
      <c r="S190" s="62">
        <f ca="1">AVERAGE(OFFSET($R$3,0,0,'Données projet'!$E$9+1,1))-AVERAGE(OFFSET($H$3,0,0,'Données projet'!$E$9+1,1))</f>
        <v>285.16422150773082</v>
      </c>
      <c r="T190" s="62">
        <f t="shared" si="142"/>
        <v>448.96462312238845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-4.1145540308207271E-13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384.44848355636935</v>
      </c>
      <c r="AO190" s="62">
        <f t="shared" si="144"/>
        <v>203.5274665601915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8.8675733422860506E-14</v>
      </c>
      <c r="BF190" s="14">
        <f t="shared" si="167"/>
        <v>1.3509285393066301E-12</v>
      </c>
      <c r="BG190" s="22">
        <f t="shared" si="168"/>
        <v>2.5073107750038623E-12</v>
      </c>
      <c r="BH190" s="62">
        <f t="shared" si="116"/>
        <v>293.33333333333582</v>
      </c>
      <c r="BI190" s="62">
        <f ca="1">AVERAGE(OFFSET($BH$3,0,0,'Données projet'!$E$11+1,1))-AVERAGE(OFFSET($H$3,0,0,'Données projet'!$E$11+1,1))</f>
        <v>220.70608186257931</v>
      </c>
      <c r="BJ190" s="62">
        <f t="shared" si="146"/>
        <v>208.79744153433245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-1.5252226148732008E-13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310.47303518828346</v>
      </c>
      <c r="CE190" s="62">
        <f t="shared" si="148"/>
        <v>247.30353382335278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1.4897523215040567E-13</v>
      </c>
      <c r="P191" s="14">
        <f t="shared" si="141"/>
        <v>2.136562777003313E-12</v>
      </c>
      <c r="Q191" s="22">
        <f t="shared" si="162"/>
        <v>3.9806453659427267E-12</v>
      </c>
      <c r="R191" s="62">
        <f t="shared" si="109"/>
        <v>293.33333333333729</v>
      </c>
      <c r="S191" s="62">
        <f ca="1">AVERAGE(OFFSET($R$3,0,0,'Données projet'!$E$9+1,1))-AVERAGE(OFFSET($H$3,0,0,'Données projet'!$E$9+1,1))</f>
        <v>285.16422150773082</v>
      </c>
      <c r="T191" s="62">
        <f t="shared" si="142"/>
        <v>448.96462312238845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-4.1145540308207271E-13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384.44848355636935</v>
      </c>
      <c r="AO191" s="62">
        <f t="shared" si="144"/>
        <v>203.5274665601915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8.8675733422860506E-14</v>
      </c>
      <c r="BF191" s="14">
        <f t="shared" si="167"/>
        <v>1.3509285393066301E-12</v>
      </c>
      <c r="BG191" s="22">
        <f t="shared" si="168"/>
        <v>2.5073107750038623E-12</v>
      </c>
      <c r="BH191" s="62">
        <f t="shared" si="116"/>
        <v>293.33333333333582</v>
      </c>
      <c r="BI191" s="62">
        <f ca="1">AVERAGE(OFFSET($BH$3,0,0,'Données projet'!$E$11+1,1))-AVERAGE(OFFSET($H$3,0,0,'Données projet'!$E$11+1,1))</f>
        <v>220.70608186257931</v>
      </c>
      <c r="BJ191" s="62">
        <f t="shared" si="146"/>
        <v>208.79744153433245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-1.5252226148732008E-13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310.47303518828346</v>
      </c>
      <c r="CE191" s="62">
        <f t="shared" si="148"/>
        <v>247.30353382335278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1.4897523215040567E-13</v>
      </c>
      <c r="P192" s="14">
        <f t="shared" si="141"/>
        <v>2.136562777003313E-12</v>
      </c>
      <c r="Q192" s="22">
        <f t="shared" si="162"/>
        <v>3.9806453659427267E-12</v>
      </c>
      <c r="R192" s="62">
        <f t="shared" si="109"/>
        <v>293.33333333333729</v>
      </c>
      <c r="S192" s="62">
        <f ca="1">AVERAGE(OFFSET($R$3,0,0,'Données projet'!$E$9+1,1))-AVERAGE(OFFSET($H$3,0,0,'Données projet'!$E$9+1,1))</f>
        <v>285.16422150773082</v>
      </c>
      <c r="T192" s="62">
        <f t="shared" si="142"/>
        <v>448.96462312238845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-4.1145540308207271E-13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384.44848355636935</v>
      </c>
      <c r="AO192" s="62">
        <f t="shared" si="144"/>
        <v>203.5274665601915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8.8675733422860506E-14</v>
      </c>
      <c r="BF192" s="14">
        <f t="shared" si="167"/>
        <v>1.3509285393066301E-12</v>
      </c>
      <c r="BG192" s="22">
        <f t="shared" si="168"/>
        <v>2.5073107750038623E-12</v>
      </c>
      <c r="BH192" s="62">
        <f t="shared" si="116"/>
        <v>293.33333333333582</v>
      </c>
      <c r="BI192" s="62">
        <f ca="1">AVERAGE(OFFSET($BH$3,0,0,'Données projet'!$E$11+1,1))-AVERAGE(OFFSET($H$3,0,0,'Données projet'!$E$11+1,1))</f>
        <v>220.70608186257931</v>
      </c>
      <c r="BJ192" s="62">
        <f t="shared" si="146"/>
        <v>208.79744153433245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-1.5252226148732008E-13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310.47303518828346</v>
      </c>
      <c r="CE192" s="62">
        <f t="shared" si="148"/>
        <v>247.30353382335278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1.4897523215040567E-13</v>
      </c>
      <c r="P193" s="14">
        <f t="shared" si="141"/>
        <v>2.136562777003313E-12</v>
      </c>
      <c r="Q193" s="22">
        <f t="shared" si="162"/>
        <v>3.9806453659427267E-12</v>
      </c>
      <c r="R193" s="62">
        <f t="shared" si="109"/>
        <v>293.33333333333729</v>
      </c>
      <c r="S193" s="62">
        <f ca="1">AVERAGE(OFFSET($R$3,0,0,'Données projet'!$E$9+1,1))-AVERAGE(OFFSET($H$3,0,0,'Données projet'!$E$9+1,1))</f>
        <v>285.16422150773082</v>
      </c>
      <c r="T193" s="62">
        <f t="shared" si="142"/>
        <v>448.96462312238845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-4.1145540308207271E-13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384.44848355636935</v>
      </c>
      <c r="AO193" s="62">
        <f t="shared" si="144"/>
        <v>203.5274665601915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8.8675733422860506E-14</v>
      </c>
      <c r="BF193" s="14">
        <f t="shared" si="167"/>
        <v>1.3509285393066301E-12</v>
      </c>
      <c r="BG193" s="22">
        <f t="shared" si="168"/>
        <v>2.5073107750038623E-12</v>
      </c>
      <c r="BH193" s="62">
        <f t="shared" si="116"/>
        <v>293.33333333333582</v>
      </c>
      <c r="BI193" s="62">
        <f ca="1">AVERAGE(OFFSET($BH$3,0,0,'Données projet'!$E$11+1,1))-AVERAGE(OFFSET($H$3,0,0,'Données projet'!$E$11+1,1))</f>
        <v>220.70608186257931</v>
      </c>
      <c r="BJ193" s="62">
        <f t="shared" si="146"/>
        <v>208.79744153433245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-1.5252226148732008E-13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310.47303518828346</v>
      </c>
      <c r="CE193" s="62">
        <f t="shared" si="148"/>
        <v>247.30353382335278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1.4897523215040567E-13</v>
      </c>
      <c r="P194" s="14">
        <f t="shared" si="141"/>
        <v>2.136562777003313E-12</v>
      </c>
      <c r="Q194" s="22">
        <f t="shared" si="162"/>
        <v>3.9806453659427267E-12</v>
      </c>
      <c r="R194" s="62">
        <f t="shared" si="109"/>
        <v>293.33333333333729</v>
      </c>
      <c r="S194" s="62">
        <f ca="1">AVERAGE(OFFSET($R$3,0,0,'Données projet'!$E$9+1,1))-AVERAGE(OFFSET($H$3,0,0,'Données projet'!$E$9+1,1))</f>
        <v>285.16422150773082</v>
      </c>
      <c r="T194" s="62">
        <f t="shared" si="142"/>
        <v>448.96462312238845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-4.1145540308207271E-13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384.44848355636935</v>
      </c>
      <c r="AO194" s="62">
        <f t="shared" si="144"/>
        <v>203.5274665601915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8.8675733422860506E-14</v>
      </c>
      <c r="BF194" s="14">
        <f t="shared" si="167"/>
        <v>1.3509285393066301E-12</v>
      </c>
      <c r="BG194" s="22">
        <f t="shared" si="168"/>
        <v>2.5073107750038623E-12</v>
      </c>
      <c r="BH194" s="62">
        <f t="shared" si="116"/>
        <v>293.33333333333582</v>
      </c>
      <c r="BI194" s="62">
        <f ca="1">AVERAGE(OFFSET($BH$3,0,0,'Données projet'!$E$11+1,1))-AVERAGE(OFFSET($H$3,0,0,'Données projet'!$E$11+1,1))</f>
        <v>220.70608186257931</v>
      </c>
      <c r="BJ194" s="62">
        <f t="shared" si="146"/>
        <v>208.79744153433245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-1.5252226148732008E-13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310.47303518828346</v>
      </c>
      <c r="CE194" s="62">
        <f t="shared" si="148"/>
        <v>247.30353382335278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1.4897523215040567E-13</v>
      </c>
      <c r="P195" s="14">
        <f t="shared" si="141"/>
        <v>2.136562777003313E-12</v>
      </c>
      <c r="Q195" s="22">
        <f t="shared" si="162"/>
        <v>3.9806453659427267E-12</v>
      </c>
      <c r="R195" s="62">
        <f t="shared" ref="R195:R203" si="191">Q195+(I195+J195)*44/12</f>
        <v>293.33333333333729</v>
      </c>
      <c r="S195" s="62">
        <f ca="1">AVERAGE(OFFSET($R$3,0,0,'Données projet'!$E$9+1,1))-AVERAGE(OFFSET($H$3,0,0,'Données projet'!$E$9+1,1))</f>
        <v>285.16422150773082</v>
      </c>
      <c r="T195" s="62">
        <f t="shared" si="142"/>
        <v>448.96462312238845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-4.1145540308207271E-13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384.44848355636935</v>
      </c>
      <c r="AO195" s="62">
        <f t="shared" si="144"/>
        <v>203.5274665601915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8.8675733422860506E-14</v>
      </c>
      <c r="BF195" s="14">
        <f t="shared" si="167"/>
        <v>1.3509285393066301E-12</v>
      </c>
      <c r="BG195" s="22">
        <f t="shared" si="168"/>
        <v>2.5073107750038623E-12</v>
      </c>
      <c r="BH195" s="62">
        <f t="shared" si="116"/>
        <v>293.33333333333582</v>
      </c>
      <c r="BI195" s="62">
        <f ca="1">AVERAGE(OFFSET($BH$3,0,0,'Données projet'!$E$11+1,1))-AVERAGE(OFFSET($H$3,0,0,'Données projet'!$E$11+1,1))</f>
        <v>220.70608186257931</v>
      </c>
      <c r="BJ195" s="62">
        <f t="shared" si="146"/>
        <v>208.79744153433245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-1.5252226148732008E-13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310.47303518828346</v>
      </c>
      <c r="CE195" s="62">
        <f t="shared" si="148"/>
        <v>247.30353382335278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1.4897523215040567E-13</v>
      </c>
      <c r="P196" s="14">
        <f t="shared" si="141"/>
        <v>2.136562777003313E-12</v>
      </c>
      <c r="Q196" s="22">
        <f t="shared" si="162"/>
        <v>3.9806453659427267E-12</v>
      </c>
      <c r="R196" s="62">
        <f t="shared" si="191"/>
        <v>293.33333333333729</v>
      </c>
      <c r="S196" s="62">
        <f ca="1">AVERAGE(OFFSET($R$3,0,0,'Données projet'!$E$9+1,1))-AVERAGE(OFFSET($H$3,0,0,'Données projet'!$E$9+1,1))</f>
        <v>285.16422150773082</v>
      </c>
      <c r="T196" s="62">
        <f t="shared" si="142"/>
        <v>448.96462312238845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-4.1145540308207271E-13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384.44848355636935</v>
      </c>
      <c r="AO196" s="62">
        <f t="shared" si="144"/>
        <v>203.5274665601915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8.8675733422860506E-14</v>
      </c>
      <c r="BF196" s="14">
        <f t="shared" si="167"/>
        <v>1.3509285393066301E-12</v>
      </c>
      <c r="BG196" s="22">
        <f t="shared" si="168"/>
        <v>2.5073107750038623E-12</v>
      </c>
      <c r="BH196" s="62">
        <f t="shared" ref="BH196:BH203" si="194">BG196+(AY196+AZ196)*44/12</f>
        <v>293.33333333333582</v>
      </c>
      <c r="BI196" s="62">
        <f ca="1">AVERAGE(OFFSET($BH$3,0,0,'Données projet'!$E$11+1,1))-AVERAGE(OFFSET($H$3,0,0,'Données projet'!$E$11+1,1))</f>
        <v>220.70608186257931</v>
      </c>
      <c r="BJ196" s="62">
        <f t="shared" si="146"/>
        <v>208.79744153433245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-1.5252226148732008E-13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310.47303518828346</v>
      </c>
      <c r="CE196" s="62">
        <f t="shared" si="148"/>
        <v>247.30353382335278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1.4897523215040567E-13</v>
      </c>
      <c r="P197" s="14">
        <f t="shared" ref="P197:P203" si="203">EXP(-1.0587+0.8836*LN(O197)+0.284)</f>
        <v>2.136562777003313E-12</v>
      </c>
      <c r="Q197" s="22">
        <f t="shared" si="162"/>
        <v>3.9806453659427267E-12</v>
      </c>
      <c r="R197" s="62">
        <f t="shared" si="191"/>
        <v>293.33333333333729</v>
      </c>
      <c r="S197" s="62">
        <f ca="1">AVERAGE(OFFSET($R$3,0,0,'Données projet'!$E$9+1,1))-AVERAGE(OFFSET($H$3,0,0,'Données projet'!$E$9+1,1))</f>
        <v>285.16422150773082</v>
      </c>
      <c r="T197" s="62">
        <f t="shared" ref="T197:T203" si="204">$T$3</f>
        <v>448.96462312238845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-4.1145540308207271E-13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384.44848355636935</v>
      </c>
      <c r="AO197" s="62">
        <f t="shared" ref="AO197:AO203" si="205">$AO$3</f>
        <v>203.5274665601915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8.8675733422860506E-14</v>
      </c>
      <c r="BF197" s="14">
        <f t="shared" si="167"/>
        <v>1.3509285393066301E-12</v>
      </c>
      <c r="BG197" s="22">
        <f t="shared" si="168"/>
        <v>2.5073107750038623E-12</v>
      </c>
      <c r="BH197" s="62">
        <f t="shared" si="194"/>
        <v>293.33333333333582</v>
      </c>
      <c r="BI197" s="62">
        <f ca="1">AVERAGE(OFFSET($BH$3,0,0,'Données projet'!$E$11+1,1))-AVERAGE(OFFSET($H$3,0,0,'Données projet'!$E$11+1,1))</f>
        <v>220.70608186257931</v>
      </c>
      <c r="BJ197" s="62">
        <f t="shared" ref="BJ197:BJ203" si="206">$BJ$3</f>
        <v>208.79744153433245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-1.5252226148732008E-13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310.47303518828346</v>
      </c>
      <c r="CE197" s="62">
        <f t="shared" ref="CE197:CE203" si="207">$CE$3</f>
        <v>247.30353382335278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1.4897523215040567E-13</v>
      </c>
      <c r="P198" s="14">
        <f t="shared" si="203"/>
        <v>2.136562777003313E-12</v>
      </c>
      <c r="Q198" s="22">
        <f t="shared" si="162"/>
        <v>3.9806453659427267E-12</v>
      </c>
      <c r="R198" s="62">
        <f t="shared" si="191"/>
        <v>293.33333333333729</v>
      </c>
      <c r="S198" s="62">
        <f ca="1">AVERAGE(OFFSET($R$3,0,0,'Données projet'!$E$9+1,1))-AVERAGE(OFFSET($H$3,0,0,'Données projet'!$E$9+1,1))</f>
        <v>285.16422150773082</v>
      </c>
      <c r="T198" s="62">
        <f t="shared" si="204"/>
        <v>448.96462312238845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-4.1145540308207271E-13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384.44848355636935</v>
      </c>
      <c r="AO198" s="62">
        <f t="shared" si="205"/>
        <v>203.5274665601915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8.8675733422860506E-14</v>
      </c>
      <c r="BF198" s="14">
        <f t="shared" si="167"/>
        <v>1.3509285393066301E-12</v>
      </c>
      <c r="BG198" s="22">
        <f t="shared" si="168"/>
        <v>2.5073107750038623E-12</v>
      </c>
      <c r="BH198" s="62">
        <f t="shared" si="194"/>
        <v>293.33333333333582</v>
      </c>
      <c r="BI198" s="62">
        <f ca="1">AVERAGE(OFFSET($BH$3,0,0,'Données projet'!$E$11+1,1))-AVERAGE(OFFSET($H$3,0,0,'Données projet'!$E$11+1,1))</f>
        <v>220.70608186257931</v>
      </c>
      <c r="BJ198" s="62">
        <f t="shared" si="206"/>
        <v>208.79744153433245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-1.5252226148732008E-13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310.47303518828346</v>
      </c>
      <c r="CE198" s="62">
        <f t="shared" si="207"/>
        <v>247.30353382335278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1.4897523215040567E-13</v>
      </c>
      <c r="P199" s="14">
        <f t="shared" si="203"/>
        <v>2.136562777003313E-12</v>
      </c>
      <c r="Q199" s="22">
        <f t="shared" si="162"/>
        <v>3.9806453659427267E-12</v>
      </c>
      <c r="R199" s="62">
        <f t="shared" si="191"/>
        <v>293.33333333333729</v>
      </c>
      <c r="S199" s="62">
        <f ca="1">AVERAGE(OFFSET($R$3,0,0,'Données projet'!$E$9+1,1))-AVERAGE(OFFSET($H$3,0,0,'Données projet'!$E$9+1,1))</f>
        <v>285.16422150773082</v>
      </c>
      <c r="T199" s="62">
        <f t="shared" si="204"/>
        <v>448.96462312238845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-4.1145540308207271E-13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384.44848355636935</v>
      </c>
      <c r="AO199" s="62">
        <f t="shared" si="205"/>
        <v>203.5274665601915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8.8675733422860506E-14</v>
      </c>
      <c r="BF199" s="14">
        <f t="shared" si="167"/>
        <v>1.3509285393066301E-12</v>
      </c>
      <c r="BG199" s="22">
        <f t="shared" si="168"/>
        <v>2.5073107750038623E-12</v>
      </c>
      <c r="BH199" s="62">
        <f t="shared" si="194"/>
        <v>293.33333333333582</v>
      </c>
      <c r="BI199" s="62">
        <f ca="1">AVERAGE(OFFSET($BH$3,0,0,'Données projet'!$E$11+1,1))-AVERAGE(OFFSET($H$3,0,0,'Données projet'!$E$11+1,1))</f>
        <v>220.70608186257931</v>
      </c>
      <c r="BJ199" s="62">
        <f t="shared" si="206"/>
        <v>208.79744153433245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-1.5252226148732008E-13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310.47303518828346</v>
      </c>
      <c r="CE199" s="62">
        <f t="shared" si="207"/>
        <v>247.30353382335278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1.4897523215040567E-13</v>
      </c>
      <c r="P200" s="14">
        <f t="shared" si="203"/>
        <v>2.136562777003313E-12</v>
      </c>
      <c r="Q200" s="22">
        <f t="shared" si="162"/>
        <v>3.9806453659427267E-12</v>
      </c>
      <c r="R200" s="62">
        <f t="shared" si="191"/>
        <v>293.33333333333729</v>
      </c>
      <c r="S200" s="62">
        <f ca="1">AVERAGE(OFFSET($R$3,0,0,'Données projet'!$E$9+1,1))-AVERAGE(OFFSET($H$3,0,0,'Données projet'!$E$9+1,1))</f>
        <v>285.16422150773082</v>
      </c>
      <c r="T200" s="62">
        <f t="shared" si="204"/>
        <v>448.96462312238845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-4.1145540308207271E-13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384.44848355636935</v>
      </c>
      <c r="AO200" s="62">
        <f t="shared" si="205"/>
        <v>203.5274665601915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8.8675733422860506E-14</v>
      </c>
      <c r="BF200" s="14">
        <f t="shared" si="167"/>
        <v>1.3509285393066301E-12</v>
      </c>
      <c r="BG200" s="22">
        <f t="shared" si="168"/>
        <v>2.5073107750038623E-12</v>
      </c>
      <c r="BH200" s="62">
        <f t="shared" si="194"/>
        <v>293.33333333333582</v>
      </c>
      <c r="BI200" s="62">
        <f ca="1">AVERAGE(OFFSET($BH$3,0,0,'Données projet'!$E$11+1,1))-AVERAGE(OFFSET($H$3,0,0,'Données projet'!$E$11+1,1))</f>
        <v>220.70608186257931</v>
      </c>
      <c r="BJ200" s="62">
        <f t="shared" si="206"/>
        <v>208.79744153433245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-1.5252226148732008E-13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310.47303518828346</v>
      </c>
      <c r="CE200" s="62">
        <f t="shared" si="207"/>
        <v>247.30353382335278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1.4897523215040567E-13</v>
      </c>
      <c r="P201" s="14">
        <f t="shared" si="203"/>
        <v>2.136562777003313E-12</v>
      </c>
      <c r="Q201" s="22">
        <f t="shared" si="162"/>
        <v>3.9806453659427267E-12</v>
      </c>
      <c r="R201" s="62">
        <f t="shared" si="191"/>
        <v>293.33333333333729</v>
      </c>
      <c r="S201" s="62">
        <f ca="1">AVERAGE(OFFSET($R$3,0,0,'Données projet'!$E$9+1,1))-AVERAGE(OFFSET($H$3,0,0,'Données projet'!$E$9+1,1))</f>
        <v>285.16422150773082</v>
      </c>
      <c r="T201" s="62">
        <f t="shared" si="204"/>
        <v>448.96462312238845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-4.1145540308207271E-13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384.44848355636935</v>
      </c>
      <c r="AO201" s="62">
        <f t="shared" si="205"/>
        <v>203.5274665601915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8.8675733422860506E-14</v>
      </c>
      <c r="BF201" s="14">
        <f t="shared" si="167"/>
        <v>1.3509285393066301E-12</v>
      </c>
      <c r="BG201" s="22">
        <f t="shared" si="168"/>
        <v>2.5073107750038623E-12</v>
      </c>
      <c r="BH201" s="62">
        <f t="shared" si="194"/>
        <v>293.33333333333582</v>
      </c>
      <c r="BI201" s="62">
        <f ca="1">AVERAGE(OFFSET($BH$3,0,0,'Données projet'!$E$11+1,1))-AVERAGE(OFFSET($H$3,0,0,'Données projet'!$E$11+1,1))</f>
        <v>220.70608186257931</v>
      </c>
      <c r="BJ201" s="62">
        <f t="shared" si="206"/>
        <v>208.79744153433245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-1.5252226148732008E-13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310.47303518828346</v>
      </c>
      <c r="CE201" s="62">
        <f t="shared" si="207"/>
        <v>247.30353382335278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1.4897523215040567E-13</v>
      </c>
      <c r="P202" s="14">
        <f t="shared" si="203"/>
        <v>2.136562777003313E-12</v>
      </c>
      <c r="Q202" s="22">
        <f t="shared" si="162"/>
        <v>3.9806453659427267E-12</v>
      </c>
      <c r="R202" s="62">
        <f t="shared" si="191"/>
        <v>293.33333333333729</v>
      </c>
      <c r="S202" s="62">
        <f ca="1">AVERAGE(OFFSET($R$3,0,0,'Données projet'!$E$9+1,1))-AVERAGE(OFFSET($H$3,0,0,'Données projet'!$E$9+1,1))</f>
        <v>285.16422150773082</v>
      </c>
      <c r="T202" s="62">
        <f t="shared" si="204"/>
        <v>448.96462312238845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-4.1145540308207271E-13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384.44848355636935</v>
      </c>
      <c r="AO202" s="62">
        <f t="shared" si="205"/>
        <v>203.5274665601915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8.8675733422860506E-14</v>
      </c>
      <c r="BF202" s="14">
        <f t="shared" si="167"/>
        <v>1.3509285393066301E-12</v>
      </c>
      <c r="BG202" s="22">
        <f t="shared" si="168"/>
        <v>2.5073107750038623E-12</v>
      </c>
      <c r="BH202" s="62">
        <f t="shared" si="194"/>
        <v>293.33333333333582</v>
      </c>
      <c r="BI202" s="62">
        <f ca="1">AVERAGE(OFFSET($BH$3,0,0,'Données projet'!$E$11+1,1))-AVERAGE(OFFSET($H$3,0,0,'Données projet'!$E$11+1,1))</f>
        <v>220.70608186257931</v>
      </c>
      <c r="BJ202" s="62">
        <f t="shared" si="206"/>
        <v>208.79744153433245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-1.5252226148732008E-13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310.47303518828346</v>
      </c>
      <c r="CE202" s="62">
        <f t="shared" si="207"/>
        <v>247.30353382335278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1.4897523215040567E-13</v>
      </c>
      <c r="P203" s="14">
        <f t="shared" si="203"/>
        <v>2.136562777003313E-12</v>
      </c>
      <c r="Q203" s="22">
        <f t="shared" si="162"/>
        <v>3.9806453659427267E-12</v>
      </c>
      <c r="R203" s="62">
        <f t="shared" si="191"/>
        <v>293.33333333333729</v>
      </c>
      <c r="S203" s="62">
        <f ca="1">AVERAGE(OFFSET($R$3,0,0,'Données projet'!$E$9+1,1))-AVERAGE(OFFSET($H$3,0,0,'Données projet'!$E$9+1,1))</f>
        <v>285.16422150773082</v>
      </c>
      <c r="T203" s="62">
        <f t="shared" si="204"/>
        <v>448.96462312238845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-4.1145540308207271E-13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384.44848355636935</v>
      </c>
      <c r="AO203" s="62">
        <f t="shared" si="205"/>
        <v>203.5274665601915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8.8675733422860506E-14</v>
      </c>
      <c r="BF203" s="14">
        <f t="shared" si="167"/>
        <v>1.3509285393066301E-12</v>
      </c>
      <c r="BG203" s="22">
        <f t="shared" si="168"/>
        <v>2.5073107750038623E-12</v>
      </c>
      <c r="BH203" s="62">
        <f t="shared" si="194"/>
        <v>293.33333333333582</v>
      </c>
      <c r="BI203" s="62">
        <f ca="1">AVERAGE(OFFSET($BH$3,0,0,'Données projet'!$E$11+1,1))-AVERAGE(OFFSET($H$3,0,0,'Données projet'!$E$11+1,1))</f>
        <v>220.70608186257931</v>
      </c>
      <c r="BJ203" s="62">
        <f t="shared" si="206"/>
        <v>208.79744153433245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-1.5252226148732008E-13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310.47303518828346</v>
      </c>
      <c r="CE203" s="62">
        <f t="shared" si="207"/>
        <v>247.30353382335278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1.3655017210306359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1.2788040393997409</v>
      </c>
      <c r="BV205" s="88">
        <f>EXP(LN('Données projet'!B114)/'Données projet'!A114)</f>
        <v>1.4669685047497352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D1" zoomScale="90" zoomScaleNormal="90" workbookViewId="0">
      <selection activeCell="J26" sqref="J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0.58912000000000009</v>
      </c>
      <c r="C6" s="156">
        <f ca="1">IF(OR('Données projet'!B9="",'Données projet'!C9="",'Données projet'!C9=0%),0,Calculateur!S3)</f>
        <v>285.16422150773082</v>
      </c>
      <c r="D6" s="156">
        <f>IF(OR('Données projet'!B9="",'Données projet'!C9="",'Données projet'!C9=0%),0,Calculateur!T3)</f>
        <v>448.96462312238845</v>
      </c>
      <c r="E6" s="156">
        <f ca="1">MIN(C6,D6)</f>
        <v>285.16422150773082</v>
      </c>
      <c r="F6" s="156">
        <f ca="1">E6*B6</f>
        <v>167.99594617463441</v>
      </c>
      <c r="G6" s="156">
        <f ca="1">F6*(100%-'Données projet'!$C$24)*(100%-'Données projet'!$C$25)*(100%-'Données projet'!$C$26)*(100%-'Données projet'!$C$27)</f>
        <v>151.19635155717097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27.541360000000005</v>
      </c>
      <c r="K6" s="160">
        <f>J6*(100%-'Données projet'!$C$24)*(100%-'Données projet'!$C$25)*(100%-'Données projet'!$C$26)*(100%-'Données projet'!$C$27)</f>
        <v>24.787224000000005</v>
      </c>
      <c r="L6" s="161">
        <f ca="1">G6+I6+K6</f>
        <v>175.98357555717098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0.44184000000000001</v>
      </c>
      <c r="C7" s="156">
        <f ca="1">IF(OR('Données projet'!B10="",'Données projet'!C10="",'Données projet'!C10=0%),0,Calculateur!AN3)</f>
        <v>384.44848355636935</v>
      </c>
      <c r="D7" s="156">
        <f>IF(OR('Données projet'!B10="",'Données projet'!C10="",'Données projet'!C10=0%),0,Calculateur!AO3)</f>
        <v>203.5274665601915</v>
      </c>
      <c r="E7" s="156">
        <f t="shared" ref="E7:E15" ca="1" si="0">MIN(C7,D7)</f>
        <v>203.5274665601915</v>
      </c>
      <c r="F7" s="156">
        <f t="shared" ref="F7:F15" ca="1" si="1">E7*B7</f>
        <v>89.926575824955009</v>
      </c>
      <c r="G7" s="156">
        <f ca="1">F7*(100%-'Données projet'!$C$24)*(100%-'Données projet'!$C$25)*(100%-'Données projet'!$C$26)*(100%-'Données projet'!$C$27)</f>
        <v>80.933918242459512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3.7556400000000001</v>
      </c>
      <c r="K7" s="160">
        <f>J7*(100%-'Données projet'!$C$24)*(100%-'Données projet'!$C$25)*(100%-'Données projet'!$C$26)*(100%-'Données projet'!$C$27)</f>
        <v>3.3800760000000003</v>
      </c>
      <c r="L7" s="161">
        <f t="shared" ref="L7:L15" ca="1" si="2">G7+I7+K7</f>
        <v>84.313994242459515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Merisier</v>
      </c>
      <c r="B8" s="163">
        <f>'Données projet'!D11</f>
        <v>0.14728000000000002</v>
      </c>
      <c r="C8" s="156">
        <f ca="1">IF(OR('Données projet'!B11="",'Données projet'!C11="",'Données projet'!C11=0%),0,Calculateur!BI3)</f>
        <v>220.70608186257931</v>
      </c>
      <c r="D8" s="156">
        <f>IF(OR('Données projet'!B11="",'Données projet'!C11="",'Données projet'!C11=0%),0,Calculateur!BJ3)</f>
        <v>208.79744153433245</v>
      </c>
      <c r="E8" s="156">
        <f t="shared" ca="1" si="0"/>
        <v>208.79744153433245</v>
      </c>
      <c r="F8" s="156">
        <f t="shared" ca="1" si="1"/>
        <v>30.751687189176486</v>
      </c>
      <c r="G8" s="156">
        <f ca="1">F8*(100%-'Données projet'!$C$24)*(100%-'Données projet'!$C$25)*(100%-'Données projet'!$C$26)*(100%-'Données projet'!$C$27)</f>
        <v>27.676518470258838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2.0251000000000001</v>
      </c>
      <c r="K8" s="160">
        <f>J8*(100%-'Données projet'!$C$24)*(100%-'Données projet'!$C$25)*(100%-'Données projet'!$C$26)*(100%-'Données projet'!$C$27)</f>
        <v>1.8225900000000002</v>
      </c>
      <c r="L8" s="161">
        <f t="shared" ca="1" si="2"/>
        <v>29.49910847025884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Tilleul</v>
      </c>
      <c r="B9" s="163">
        <f>'Données projet'!D12</f>
        <v>0.14728000000000002</v>
      </c>
      <c r="C9" s="156">
        <f ca="1">IF(OR('Données projet'!B12="",'Données projet'!C12="",'Données projet'!C12=0%),0,Calculateur!CD3)</f>
        <v>310.47303518828346</v>
      </c>
      <c r="D9" s="156">
        <f>IF(OR('Données projet'!B12="",'Données projet'!C12="",'Données projet'!C12=0%),0,Calculateur!CE3)</f>
        <v>247.30353382335278</v>
      </c>
      <c r="E9" s="156">
        <f t="shared" ca="1" si="0"/>
        <v>247.30353382335278</v>
      </c>
      <c r="F9" s="156">
        <f t="shared" ca="1" si="1"/>
        <v>36.422864461503401</v>
      </c>
      <c r="G9" s="156">
        <f ca="1">F9*(100%-'Données projet'!$C$24)*(100%-'Données projet'!$C$25)*(100%-'Données projet'!$C$26)*(100%-'Données projet'!$C$27)</f>
        <v>32.780578015353065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2.619884615384616</v>
      </c>
      <c r="K9" s="160">
        <f>J9*(100%-'Données projet'!$C$24)*(100%-'Données projet'!$C$25)*(100%-'Données projet'!$C$26)*(100%-'Données projet'!$C$27)</f>
        <v>2.3578961538461547</v>
      </c>
      <c r="L9" s="161">
        <f t="shared" ca="1" si="2"/>
        <v>35.13847416919922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325.09707365026935</v>
      </c>
      <c r="G16" s="175">
        <f t="shared" ca="1" si="3"/>
        <v>292.58736628524235</v>
      </c>
      <c r="H16" s="176">
        <f t="shared" si="3"/>
        <v>0</v>
      </c>
      <c r="I16" s="176">
        <f t="shared" si="3"/>
        <v>0</v>
      </c>
      <c r="J16" s="177">
        <f t="shared" si="3"/>
        <v>35.941984615384619</v>
      </c>
      <c r="K16" s="177">
        <f t="shared" si="3"/>
        <v>32.347786153846158</v>
      </c>
      <c r="L16" s="178">
        <f t="shared" ca="1" si="3"/>
        <v>324.93515243908854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Tilleul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4" zoomScale="85" zoomScaleNormal="85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8864.6913954401316</v>
      </c>
      <c r="U10" s="190">
        <f>'Données projet'!D9</f>
        <v>0.58912000000000009</v>
      </c>
      <c r="V10" s="189">
        <f>U10*T10</f>
        <v>5222.3669948816914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826.88131476556771</v>
      </c>
      <c r="U11" s="190">
        <f>'Données projet'!D10</f>
        <v>0.44184000000000001</v>
      </c>
      <c r="V11" s="189">
        <f t="shared" ref="V11" si="0">U11*T11</f>
        <v>365.34924011601845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3089.9985773232406</v>
      </c>
      <c r="U12" s="190">
        <f>'Données projet'!D11</f>
        <v>0.14728000000000002</v>
      </c>
      <c r="V12" s="189">
        <f t="shared" ref="V12:V19" si="1">U12*T12</f>
        <v>455.09499046816694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Tilleul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984.51946100431189</v>
      </c>
      <c r="U13" s="190">
        <f>'Données projet'!D12</f>
        <v>0.14728000000000002</v>
      </c>
      <c r="V13" s="189">
        <f t="shared" si="1"/>
        <v>145.00002621671507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1999.9999999999982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10000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-8540.1887483174105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84</v>
      </c>
      <c r="C24" s="206">
        <v>50</v>
      </c>
      <c r="D24" s="194">
        <f t="shared" ref="D24:D42" si="2">B24*C24</f>
        <v>4200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36.103119299755512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-8576.2918676171666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103</v>
      </c>
      <c r="C26" s="206">
        <v>70</v>
      </c>
      <c r="D26" s="194">
        <f t="shared" si="2"/>
        <v>7210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94</v>
      </c>
      <c r="C28" s="206">
        <v>100</v>
      </c>
      <c r="D28" s="194">
        <f t="shared" si="2"/>
        <v>9400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336</v>
      </c>
      <c r="C31" s="206">
        <v>120</v>
      </c>
      <c r="D31" s="194">
        <f t="shared" si="2"/>
        <v>40320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34</v>
      </c>
      <c r="C55" s="206">
        <v>10</v>
      </c>
      <c r="D55" s="191">
        <f t="shared" ref="D55:D73" si="4">B55*C55</f>
        <v>340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0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56</v>
      </c>
      <c r="C57" s="206">
        <v>10</v>
      </c>
      <c r="D57" s="191">
        <f t="shared" si="4"/>
        <v>560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0</v>
      </c>
      <c r="C58" s="206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56</v>
      </c>
      <c r="C59" s="206">
        <v>10</v>
      </c>
      <c r="D59" s="191">
        <f t="shared" si="4"/>
        <v>560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0</v>
      </c>
      <c r="C60" s="206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56</v>
      </c>
      <c r="C61" s="206">
        <v>20</v>
      </c>
      <c r="D61" s="191">
        <f t="shared" si="4"/>
        <v>1120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0</v>
      </c>
      <c r="C62" s="206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56</v>
      </c>
      <c r="C63" s="206">
        <v>30</v>
      </c>
      <c r="D63" s="191">
        <f t="shared" si="4"/>
        <v>1680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0</v>
      </c>
      <c r="C64" s="206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56</v>
      </c>
      <c r="C65" s="206">
        <v>40</v>
      </c>
      <c r="D65" s="191">
        <f t="shared" si="4"/>
        <v>2240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0</v>
      </c>
      <c r="C66" s="206">
        <v>50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56</v>
      </c>
      <c r="C67" s="206">
        <v>70</v>
      </c>
      <c r="D67" s="191">
        <f t="shared" si="4"/>
        <v>3920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100</v>
      </c>
      <c r="B68" s="193">
        <f>'Données projet'!D76</f>
        <v>55</v>
      </c>
      <c r="C68" s="206">
        <v>100</v>
      </c>
      <c r="D68" s="191">
        <f t="shared" si="4"/>
        <v>5500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110</v>
      </c>
      <c r="B69" s="193">
        <f>'Données projet'!D77</f>
        <v>53</v>
      </c>
      <c r="C69" s="206">
        <v>120</v>
      </c>
      <c r="D69" s="191">
        <f t="shared" si="4"/>
        <v>6360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120</v>
      </c>
      <c r="B70" s="193">
        <f>'Données projet'!D78</f>
        <v>47</v>
      </c>
      <c r="C70" s="206">
        <v>120</v>
      </c>
      <c r="D70" s="191">
        <f t="shared" si="4"/>
        <v>5640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130</v>
      </c>
      <c r="B71" s="193">
        <f>'Données projet'!D79</f>
        <v>44</v>
      </c>
      <c r="C71" s="206">
        <v>150</v>
      </c>
      <c r="D71" s="191">
        <f t="shared" si="4"/>
        <v>6600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140</v>
      </c>
      <c r="B72" s="193">
        <f>'Données projet'!D80</f>
        <v>43</v>
      </c>
      <c r="C72" s="206">
        <v>200</v>
      </c>
      <c r="D72" s="191">
        <f t="shared" si="4"/>
        <v>8600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335</v>
      </c>
      <c r="C73" s="206">
        <v>200</v>
      </c>
      <c r="D73" s="191">
        <f t="shared" si="4"/>
        <v>67000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55</v>
      </c>
      <c r="C87" s="204">
        <v>10</v>
      </c>
      <c r="D87" s="191">
        <f t="shared" si="6"/>
        <v>550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31</v>
      </c>
      <c r="B88" s="193">
        <f>'Données projet'!D91</f>
        <v>36</v>
      </c>
      <c r="C88" s="204">
        <v>15</v>
      </c>
      <c r="D88" s="191">
        <f t="shared" si="6"/>
        <v>540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37</v>
      </c>
      <c r="B89" s="193">
        <f>'Données projet'!D92</f>
        <v>36</v>
      </c>
      <c r="C89" s="204">
        <v>30</v>
      </c>
      <c r="D89" s="191">
        <f t="shared" si="6"/>
        <v>1080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44</v>
      </c>
      <c r="B90" s="193">
        <f>'Données projet'!D93</f>
        <v>43</v>
      </c>
      <c r="C90" s="204">
        <v>40</v>
      </c>
      <c r="D90" s="191">
        <f t="shared" si="6"/>
        <v>1720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52</v>
      </c>
      <c r="B91" s="193">
        <f>'Données projet'!D94</f>
        <v>48</v>
      </c>
      <c r="C91" s="204">
        <v>50</v>
      </c>
      <c r="D91" s="191">
        <f t="shared" si="6"/>
        <v>2400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47</v>
      </c>
      <c r="C92" s="204">
        <v>100</v>
      </c>
      <c r="D92" s="191">
        <f t="shared" si="6"/>
        <v>4700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69</v>
      </c>
      <c r="B93" s="193">
        <f>'Données projet'!D96</f>
        <v>328</v>
      </c>
      <c r="C93" s="204">
        <v>110</v>
      </c>
      <c r="D93" s="191">
        <f t="shared" si="6"/>
        <v>36080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Tilleul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27.564102564102562</v>
      </c>
      <c r="C117" s="206">
        <v>10</v>
      </c>
      <c r="D117" s="191">
        <f t="shared" ref="D117:D135" si="8">B117*C117</f>
        <v>275.64102564102564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0</v>
      </c>
      <c r="C118" s="206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43.589743589743591</v>
      </c>
      <c r="C119" s="206">
        <v>10</v>
      </c>
      <c r="D119" s="191">
        <f t="shared" si="8"/>
        <v>435.89743589743591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0</v>
      </c>
      <c r="C120" s="206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44.871794871794869</v>
      </c>
      <c r="C121" s="206">
        <v>15</v>
      </c>
      <c r="D121" s="191">
        <f t="shared" si="8"/>
        <v>673.07692307692298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0</v>
      </c>
      <c r="C122" s="206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28.205128205128204</v>
      </c>
      <c r="C123" s="206">
        <v>20</v>
      </c>
      <c r="D123" s="191">
        <f t="shared" si="8"/>
        <v>564.10256410256409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0</v>
      </c>
      <c r="C124" s="206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39.743589743589745</v>
      </c>
      <c r="C125" s="206">
        <v>30</v>
      </c>
      <c r="D125" s="191">
        <f t="shared" si="8"/>
        <v>1192.3076923076924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0</v>
      </c>
      <c r="C126" s="206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65</v>
      </c>
      <c r="B127" s="193">
        <f>'Données projet'!D125</f>
        <v>0</v>
      </c>
      <c r="C127" s="206">
        <v>40</v>
      </c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70</v>
      </c>
      <c r="B128" s="193">
        <f>'Données projet'!D126</f>
        <v>0</v>
      </c>
      <c r="C128" s="206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75</v>
      </c>
      <c r="B129" s="193">
        <f>'Données projet'!D127</f>
        <v>33.974358974358971</v>
      </c>
      <c r="C129" s="206">
        <v>50</v>
      </c>
      <c r="D129" s="191">
        <f t="shared" si="8"/>
        <v>1698.7179487179485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80</v>
      </c>
      <c r="B130" s="193">
        <f>'Données projet'!D128</f>
        <v>0</v>
      </c>
      <c r="C130" s="206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85</v>
      </c>
      <c r="B131" s="193">
        <f>'Données projet'!D129</f>
        <v>30.769230769230766</v>
      </c>
      <c r="C131" s="206">
        <v>60</v>
      </c>
      <c r="D131" s="191">
        <f t="shared" si="8"/>
        <v>1846.153846153846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90</v>
      </c>
      <c r="B132" s="193">
        <f>'Données projet'!D130</f>
        <v>0</v>
      </c>
      <c r="C132" s="206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95</v>
      </c>
      <c r="B133" s="193">
        <f>'Données projet'!D131</f>
        <v>28.846153846153847</v>
      </c>
      <c r="C133" s="206">
        <v>65</v>
      </c>
      <c r="D133" s="191">
        <f t="shared" si="8"/>
        <v>1875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100</v>
      </c>
      <c r="B134" s="193">
        <f>'Données projet'!D132</f>
        <v>0</v>
      </c>
      <c r="C134" s="206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110</v>
      </c>
      <c r="B135" s="193">
        <f>'Données projet'!D133</f>
        <v>423.71794871794873</v>
      </c>
      <c r="C135" s="206">
        <v>70</v>
      </c>
      <c r="D135" s="191">
        <f t="shared" si="8"/>
        <v>29660.25641025641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Rombaut- CNPF - C+FOR</cp:lastModifiedBy>
  <dcterms:created xsi:type="dcterms:W3CDTF">2021-02-01T08:22:39Z</dcterms:created>
  <dcterms:modified xsi:type="dcterms:W3CDTF">2023-08-21T14:25:25Z</dcterms:modified>
</cp:coreProperties>
</file>