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Hopis + Éco Manifestations d'Alsace\CNPF C+for n° 133 Andlau (Internationaux de Strasbourg n° 2)\5 - Montage technique et administratif du dossier\"/>
    </mc:Choice>
  </mc:AlternateContent>
  <bookViews>
    <workbookView xWindow="0" yWindow="0" windowWidth="11745" windowHeight="531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1" l="1"/>
  <c r="D43" i="1"/>
  <c r="D36" i="1"/>
  <c r="B36" i="1"/>
  <c r="B90" i="1" l="1"/>
  <c r="B91" i="1"/>
  <c r="B92" i="1"/>
  <c r="B98" i="1"/>
  <c r="B97" i="1"/>
  <c r="B96" i="1"/>
  <c r="B95" i="1"/>
  <c r="B94" i="1"/>
  <c r="B93" i="1"/>
  <c r="B89" i="1"/>
  <c r="B88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EW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HI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FS130" i="2"/>
  <c r="EW130" i="2"/>
  <c r="EX130" i="2"/>
  <c r="EB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B144" i="2"/>
  <c r="FR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FR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HH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W155" i="2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B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HH163" i="2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HG164" i="2"/>
  <c r="EA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HI167" i="2"/>
  <c r="EC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H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EV185" i="2"/>
  <c r="EW185" i="2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W192" i="2"/>
  <c r="HG192" i="2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EA201" i="2" l="1"/>
  <c r="EB201" i="2"/>
  <c r="HG201" i="2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FZ6" i="2"/>
  <c r="HG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<sst xmlns="http://schemas.openxmlformats.org/spreadsheetml/2006/main" count="1172" uniqueCount="324">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</sst>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540960"/>
        <c:axId val="-867542048"/>
      </c:scatterChart>
      <c:valAx>
        <c:axId val="-867540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2048"/>
        <c:crosses val="autoZero"/>
        <c:crossBetween val="midCat"/>
      </c:valAx>
      <c:valAx>
        <c:axId val="-86754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0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549664"/>
        <c:axId val="-867551296"/>
      </c:scatterChart>
      <c:valAx>
        <c:axId val="-867549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51296"/>
        <c:crosses val="autoZero"/>
        <c:crossBetween val="midCat"/>
      </c:valAx>
      <c:valAx>
        <c:axId val="-86755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9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554016"/>
        <c:axId val="-867546944"/>
      </c:scatterChart>
      <c:valAx>
        <c:axId val="-867554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6944"/>
        <c:crosses val="autoZero"/>
        <c:crossBetween val="midCat"/>
      </c:valAx>
      <c:valAx>
        <c:axId val="-86754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5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646.40615710041936</c:v>
                </c:pt>
                <c:pt idx="76">
                  <c:v>653.49207676674735</c:v>
                </c:pt>
                <c:pt idx="77">
                  <c:v>660.57641312792327</c:v>
                </c:pt>
                <c:pt idx="78">
                  <c:v>667.659185558682</c:v>
                </c:pt>
                <c:pt idx="79">
                  <c:v>674.74041298916916</c:v>
                </c:pt>
                <c:pt idx="80">
                  <c:v>681.8201139198037</c:v>
                </c:pt>
                <c:pt idx="81">
                  <c:v>688.89830643548896</c:v>
                </c:pt>
                <c:pt idx="82">
                  <c:v>695.97500821921176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540416"/>
        <c:axId val="-867552928"/>
      </c:scatterChart>
      <c:valAx>
        <c:axId val="-867540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52928"/>
        <c:crosses val="autoZero"/>
        <c:crossBetween val="midCat"/>
      </c:valAx>
      <c:valAx>
        <c:axId val="-86755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0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539872"/>
        <c:axId val="-867554560"/>
      </c:scatterChart>
      <c:valAx>
        <c:axId val="-867539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54560"/>
        <c:crosses val="autoZero"/>
        <c:crossBetween val="midCat"/>
      </c:valAx>
      <c:valAx>
        <c:axId val="-86755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39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546400"/>
        <c:axId val="-867545856"/>
      </c:scatterChart>
      <c:valAx>
        <c:axId val="-867546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5856"/>
        <c:crosses val="autoZero"/>
        <c:crossBetween val="midCat"/>
      </c:valAx>
      <c:valAx>
        <c:axId val="-86754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6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548032"/>
        <c:axId val="-867542592"/>
      </c:scatterChart>
      <c:valAx>
        <c:axId val="-867548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2592"/>
        <c:crosses val="autoZero"/>
        <c:crossBetween val="midCat"/>
      </c:valAx>
      <c:valAx>
        <c:axId val="-86754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8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539328"/>
        <c:axId val="-867551840"/>
      </c:scatterChart>
      <c:valAx>
        <c:axId val="-867539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51840"/>
        <c:crosses val="autoZero"/>
        <c:crossBetween val="midCat"/>
      </c:valAx>
      <c:valAx>
        <c:axId val="-86755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39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541504"/>
        <c:axId val="-867543136"/>
      </c:scatterChart>
      <c:valAx>
        <c:axId val="-867541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3136"/>
        <c:crosses val="autoZero"/>
        <c:crossBetween val="midCat"/>
      </c:valAx>
      <c:valAx>
        <c:axId val="-86754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1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67552384"/>
        <c:axId val="-867545312"/>
      </c:scatterChart>
      <c:valAx>
        <c:axId val="-867552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45312"/>
        <c:crosses val="autoZero"/>
        <c:crossBetween val="midCat"/>
      </c:valAx>
      <c:valAx>
        <c:axId val="-8675453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67552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3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7" zoomScale="70" zoomScaleNormal="70" workbookViewId="0">
      <selection activeCell="E20" sqref="E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0.5</v>
      </c>
      <c r="D9" s="36">
        <f t="shared" ref="D9:D18" si="0">C9*$C$5</f>
        <v>1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27</v>
      </c>
      <c r="C10" s="35">
        <v>0.25</v>
      </c>
      <c r="D10" s="36">
        <f t="shared" si="0"/>
        <v>0.5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0.25</v>
      </c>
      <c r="D11" s="36">
        <f t="shared" si="0"/>
        <v>0.5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f>10*21</f>
        <v>210</v>
      </c>
      <c r="C36" s="63">
        <v>1</v>
      </c>
      <c r="D36" s="63">
        <f>B36-147</f>
        <v>63</v>
      </c>
      <c r="E36" s="54"/>
      <c r="F36" s="54">
        <v>0.5</v>
      </c>
      <c r="G36" s="54">
        <v>0.5</v>
      </c>
      <c r="H36" s="93"/>
      <c r="I36" s="52">
        <f>IFERROR(B36/A36,"")</f>
        <v>10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280</v>
      </c>
      <c r="C37" s="63">
        <v>2</v>
      </c>
      <c r="D37" s="63">
        <v>64</v>
      </c>
      <c r="E37" s="54"/>
      <c r="F37" s="54">
        <v>0.5</v>
      </c>
      <c r="G37" s="54">
        <v>0.5</v>
      </c>
      <c r="H37" s="93"/>
      <c r="I37" s="56">
        <f t="shared" ref="I37:I55" si="1">IF(A37&lt;&gt;0,(B37-(B36-D36))/(A37-A36),"")</f>
        <v>19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355</v>
      </c>
      <c r="C38" s="63">
        <v>3</v>
      </c>
      <c r="D38" s="63">
        <v>73</v>
      </c>
      <c r="E38" s="93"/>
      <c r="F38" s="93"/>
      <c r="G38" s="93"/>
      <c r="H38" s="93"/>
      <c r="I38" s="56">
        <f t="shared" si="1"/>
        <v>19.857142857142858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42</v>
      </c>
      <c r="B39" s="63">
        <v>419</v>
      </c>
      <c r="C39" s="63">
        <v>4</v>
      </c>
      <c r="D39" s="63">
        <v>77</v>
      </c>
      <c r="E39" s="93"/>
      <c r="F39" s="93"/>
      <c r="G39" s="93"/>
      <c r="H39" s="93"/>
      <c r="I39" s="52">
        <f t="shared" si="1"/>
        <v>19.571428571428573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49</v>
      </c>
      <c r="B40" s="63">
        <v>473</v>
      </c>
      <c r="C40" s="63">
        <v>5</v>
      </c>
      <c r="D40" s="63">
        <v>80</v>
      </c>
      <c r="E40" s="93"/>
      <c r="F40" s="93"/>
      <c r="G40" s="93"/>
      <c r="H40" s="93"/>
      <c r="I40" s="52">
        <f t="shared" si="1"/>
        <v>18.714285714285715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56</v>
      </c>
      <c r="B41" s="63">
        <v>514</v>
      </c>
      <c r="C41" s="63">
        <v>6</v>
      </c>
      <c r="D41" s="63">
        <v>85</v>
      </c>
      <c r="E41" s="93"/>
      <c r="F41" s="93"/>
      <c r="G41" s="93"/>
      <c r="H41" s="93"/>
      <c r="I41" s="56">
        <f t="shared" si="1"/>
        <v>17.285714285714285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63</v>
      </c>
      <c r="B42" s="63">
        <v>538</v>
      </c>
      <c r="C42" s="63">
        <v>7</v>
      </c>
      <c r="D42" s="63">
        <v>84</v>
      </c>
      <c r="E42" s="93"/>
      <c r="F42" s="93"/>
      <c r="G42" s="93"/>
      <c r="H42" s="93"/>
      <c r="I42" s="56">
        <f t="shared" si="1"/>
        <v>15.571428571428571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3">
        <v>70</v>
      </c>
      <c r="B43" s="63">
        <v>551</v>
      </c>
      <c r="C43" s="63">
        <v>8</v>
      </c>
      <c r="D43" s="63">
        <f>B43</f>
        <v>551</v>
      </c>
      <c r="E43" s="93"/>
      <c r="F43" s="93"/>
      <c r="G43" s="93"/>
      <c r="H43" s="93"/>
      <c r="I43" s="52">
        <f t="shared" si="1"/>
        <v>13.857142857142858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Mélèze d'Europe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18</v>
      </c>
      <c r="B62" s="63">
        <v>112</v>
      </c>
      <c r="C62" s="63">
        <v>1</v>
      </c>
      <c r="D62" s="63">
        <v>20</v>
      </c>
      <c r="E62" s="54"/>
      <c r="F62" s="54"/>
      <c r="G62" s="54">
        <v>0.3</v>
      </c>
      <c r="H62" s="54">
        <v>0.7</v>
      </c>
      <c r="I62" s="56">
        <f>IFERROR(B62/A62,"")</f>
        <v>6.2222222222222223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21</v>
      </c>
      <c r="B63" s="63">
        <v>146</v>
      </c>
      <c r="C63" s="63">
        <v>2</v>
      </c>
      <c r="D63" s="63">
        <v>26</v>
      </c>
      <c r="E63" s="54"/>
      <c r="F63" s="54"/>
      <c r="G63" s="54">
        <v>0.4</v>
      </c>
      <c r="H63" s="54">
        <v>0.6</v>
      </c>
      <c r="I63" s="52">
        <f>IF(A63&lt;&gt;0,(B63-(B62-D62))/(A63-A62),"")</f>
        <v>18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24</v>
      </c>
      <c r="B64" s="63">
        <v>168</v>
      </c>
      <c r="C64" s="63">
        <v>3</v>
      </c>
      <c r="D64" s="63">
        <v>29</v>
      </c>
      <c r="E64" s="54"/>
      <c r="F64" s="54">
        <v>0.1</v>
      </c>
      <c r="G64" s="54">
        <v>0.4</v>
      </c>
      <c r="H64" s="54">
        <v>0.5</v>
      </c>
      <c r="I64" s="52">
        <f>IF(A64&lt;&gt;0,(B64-(B63-D63))/(A64-A63),"")</f>
        <v>16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224</v>
      </c>
      <c r="C65" s="63">
        <v>4</v>
      </c>
      <c r="D65" s="63">
        <v>53</v>
      </c>
      <c r="E65" s="54"/>
      <c r="F65" s="54">
        <v>0.3</v>
      </c>
      <c r="G65" s="54">
        <v>0.3</v>
      </c>
      <c r="H65" s="54">
        <v>0.4</v>
      </c>
      <c r="I65" s="52">
        <f>IF(A65&lt;&gt;0,(B65-(B64-D64))/(A65-A64),"")</f>
        <v>14.166666666666666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36</v>
      </c>
      <c r="B66" s="63">
        <v>248</v>
      </c>
      <c r="C66" s="63">
        <v>5</v>
      </c>
      <c r="D66" s="63">
        <v>62</v>
      </c>
      <c r="E66" s="54"/>
      <c r="F66" s="54"/>
      <c r="G66" s="54"/>
      <c r="H66" s="54"/>
      <c r="I66" s="52">
        <f t="shared" ref="I66:I81" si="2">IF(A66&lt;&gt;0,(B66-(B65-D65))/(A66-A65),"")</f>
        <v>12.833333333333334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42</v>
      </c>
      <c r="B67" s="63">
        <v>255</v>
      </c>
      <c r="C67" s="63">
        <v>6</v>
      </c>
      <c r="D67" s="63">
        <v>67</v>
      </c>
      <c r="E67" s="54"/>
      <c r="F67" s="54"/>
      <c r="G67" s="54"/>
      <c r="H67" s="54"/>
      <c r="I67" s="52">
        <f t="shared" si="2"/>
        <v>11.5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48</v>
      </c>
      <c r="B68" s="63">
        <v>252</v>
      </c>
      <c r="C68" s="63">
        <v>7</v>
      </c>
      <c r="D68" s="63">
        <v>65</v>
      </c>
      <c r="E68" s="54"/>
      <c r="F68" s="54"/>
      <c r="G68" s="54"/>
      <c r="H68" s="54"/>
      <c r="I68" s="52">
        <f t="shared" si="2"/>
        <v>10.666666666666666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3">
        <v>60</v>
      </c>
      <c r="B69" s="63">
        <v>304</v>
      </c>
      <c r="C69" s="63">
        <v>8</v>
      </c>
      <c r="D69" s="63">
        <f>B69</f>
        <v>304</v>
      </c>
      <c r="E69" s="54"/>
      <c r="F69" s="54"/>
      <c r="G69" s="54"/>
      <c r="H69" s="54"/>
      <c r="I69" s="52">
        <f t="shared" si="2"/>
        <v>9.75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f>107+16</f>
        <v>123</v>
      </c>
      <c r="C88" s="63">
        <v>1</v>
      </c>
      <c r="D88" s="63">
        <v>16</v>
      </c>
      <c r="E88" s="54"/>
      <c r="F88" s="54">
        <v>0.5</v>
      </c>
      <c r="G88" s="54">
        <v>0.5</v>
      </c>
      <c r="H88" s="54"/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127+D89</f>
        <v>144</v>
      </c>
      <c r="C89" s="63">
        <v>2</v>
      </c>
      <c r="D89" s="63">
        <v>17</v>
      </c>
      <c r="E89" s="54"/>
      <c r="F89" s="54">
        <v>0.5</v>
      </c>
      <c r="G89" s="54">
        <v>0.5</v>
      </c>
      <c r="H89" s="54"/>
      <c r="I89" s="56">
        <f t="shared" ref="I89:I102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160+D90</f>
        <v>194</v>
      </c>
      <c r="C90" s="63">
        <v>3</v>
      </c>
      <c r="D90" s="63">
        <v>34</v>
      </c>
      <c r="E90" s="54"/>
      <c r="F90" s="54">
        <v>0.5</v>
      </c>
      <c r="G90" s="54">
        <v>0.5</v>
      </c>
      <c r="H90" s="54"/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192+D91</f>
        <v>233</v>
      </c>
      <c r="C91" s="63">
        <v>4</v>
      </c>
      <c r="D91" s="63">
        <v>41</v>
      </c>
      <c r="E91" s="54"/>
      <c r="F91" s="54"/>
      <c r="G91" s="54"/>
      <c r="H91" s="54"/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223+D92</f>
        <v>264</v>
      </c>
      <c r="C92" s="63">
        <v>5</v>
      </c>
      <c r="D92" s="63">
        <v>41</v>
      </c>
      <c r="E92" s="54"/>
      <c r="F92" s="54"/>
      <c r="G92" s="54"/>
      <c r="H92" s="54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265+D93</f>
        <v>318</v>
      </c>
      <c r="C93" s="63">
        <v>6</v>
      </c>
      <c r="D93" s="63">
        <v>53</v>
      </c>
      <c r="E93" s="54"/>
      <c r="F93" s="54"/>
      <c r="G93" s="54"/>
      <c r="H93" s="54"/>
      <c r="I93" s="56">
        <f t="shared" si="3"/>
        <v>19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299+D94</f>
        <v>352</v>
      </c>
      <c r="C94" s="63">
        <v>7</v>
      </c>
      <c r="D94" s="63">
        <v>53</v>
      </c>
      <c r="E94" s="54"/>
      <c r="F94" s="54"/>
      <c r="G94" s="54"/>
      <c r="H94" s="54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58</v>
      </c>
      <c r="B95" s="63">
        <f>362+D95</f>
        <v>440</v>
      </c>
      <c r="C95" s="63">
        <v>8</v>
      </c>
      <c r="D95" s="63">
        <v>78</v>
      </c>
      <c r="E95" s="54"/>
      <c r="F95" s="54"/>
      <c r="G95" s="54"/>
      <c r="H95" s="54"/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f>430+D96</f>
        <v>495</v>
      </c>
      <c r="C96" s="63">
        <v>9</v>
      </c>
      <c r="D96" s="63">
        <v>65</v>
      </c>
      <c r="E96" s="93"/>
      <c r="F96" s="93"/>
      <c r="G96" s="93"/>
      <c r="H96" s="93"/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f>496+D97</f>
        <v>533</v>
      </c>
      <c r="C97" s="63">
        <v>10</v>
      </c>
      <c r="D97" s="63">
        <v>37</v>
      </c>
      <c r="E97" s="93"/>
      <c r="F97" s="54"/>
      <c r="G97" s="54"/>
      <c r="H97" s="93"/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f>541</f>
        <v>541</v>
      </c>
      <c r="C98" s="63">
        <v>11</v>
      </c>
      <c r="D98" s="63">
        <v>541</v>
      </c>
      <c r="E98" s="93"/>
      <c r="F98" s="93"/>
      <c r="G98" s="93"/>
      <c r="H98" s="93"/>
      <c r="I98" s="56">
        <f t="shared" si="3"/>
        <v>5.625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ref="I103:I107" si="4">IF(A103&lt;&gt;0,(B103-(B102-D102))/(A103-A102),"")</f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5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5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5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5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5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5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26" sqref="G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Mélèze d'Europe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302.20483575440988</v>
      </c>
      <c r="T3" s="62">
        <f>IF('Données projet'!E9&gt;30,$R$33-$H$33,LOOKUP('Données projet'!$E$9,$A$3:$A$203,R3:R203)-LOOKUP('Données projet'!$E$9,$A$3:$A$203,$H$3:$H$203))</f>
        <v>275.32862097158687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175.05987582828078</v>
      </c>
      <c r="AO3" s="62">
        <f>IF('Données projet'!E10&gt;30,$AM$33-$H$33,LOOKUP('Données projet'!$E$10,$A$3:$A$203,AM3:AM203)-LOOKUP('Données projet'!$E$10,$A$3:$A$203,$H$3:$H$203))</f>
        <v>268.54782308462387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287.29865338866551</v>
      </c>
      <c r="BJ3" s="62">
        <f>IF('Données projet'!E11&gt;30,$BH$33-$H$33,LOOKUP('Données projet'!$E$11,$A$3:$A$203,BH3:BH203)-LOOKUP('Données projet'!$E$11,$A$3:$A$203,$H$3:$H$203))</f>
        <v>217.57508587672368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</v>
      </c>
      <c r="N4" s="14">
        <f>IF('Données projet'!$A$36&gt;35,N3+M4-V3,IF(A4&lt;'Données projet'!$A$36,$K$205^A4,IF(A4='Données projet'!$A$36,'Données projet'!$B$36,N3+M4-V3)))</f>
        <v>1.289976715395158</v>
      </c>
      <c r="O4" s="14">
        <f>N4*VLOOKUP('Données projet'!$B$9,Paramètres!$A$1:$I$89,3,0)*VLOOKUP('Données projet'!$B$9,Paramètres!$A$1:$I$89,5,0)</f>
        <v>0.72109698390589339</v>
      </c>
      <c r="P4" s="14">
        <f>EXP(-1.0587+0.8836*LN(O4)+0.284)</f>
        <v>0.34520357101002697</v>
      </c>
      <c r="Q4" s="22">
        <f t="shared" ref="Q4:Q34" si="2">(O4+P4)*0.475*44/12</f>
        <v>1.8571401331452277</v>
      </c>
      <c r="R4" s="62">
        <f t="shared" si="0"/>
        <v>295.19047346647852</v>
      </c>
      <c r="S4" s="62">
        <f ca="1">AVERAGE(OFFSET($R$3,0,0,'Données projet'!$E$9+1,1))-AVERAGE(OFFSET($H$3,0,0,'Données projet'!$E$9+1,1))</f>
        <v>302.20483575440988</v>
      </c>
      <c r="T4" s="62">
        <f>$T$3</f>
        <v>275.32862097158687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6.2222222222222223</v>
      </c>
      <c r="AI4" s="14">
        <f>IF('Données projet'!$A$62&gt;35,AI3+AH4-AQ3,IF(A4&lt;'Données projet'!$A$62,$AF$205^A4,IF(A4='Données projet'!$A$62,'Données projet'!$B$62,AI3+AH4-AQ3)))</f>
        <v>1.2997069632623315</v>
      </c>
      <c r="AJ4" s="14">
        <f>AI4*VLOOKUP('Données projet'!$B$10,Paramètres!$A$1:$I$89,3,0)*VLOOKUP('Données projet'!$B$10,Paramètres!$A$1:$I$89,5,0)</f>
        <v>0.81101714507569489</v>
      </c>
      <c r="AK4" s="14">
        <f>EXP(-1.0587+0.8836*LN(AJ4)+0.284)</f>
        <v>0.38297551084354686</v>
      </c>
      <c r="AL4" s="22">
        <f t="shared" ref="AL4:AL67" si="4">(AJ4+AK4)*0.475*44/12</f>
        <v>2.0795372090593456</v>
      </c>
      <c r="AM4" s="62">
        <f t="shared" ref="AM4:AM67" si="5">AL4+(AD4+AE4)*44/12</f>
        <v>295.41287054239268</v>
      </c>
      <c r="AN4" s="62">
        <f ca="1">AVERAGE(OFFSET($AM$3,0,0,'Données projet'!$E$10+1,1))-AVERAGE(OFFSET($H$3,0,0,'Données projet'!$E$10+1,1))</f>
        <v>175.05987582828078</v>
      </c>
      <c r="AO4" s="62">
        <f>$AO$3</f>
        <v>268.54782308462387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projet'!$B$11,Paramètres!$A$1:$I$89,3,0)*VLOOKUP('Données projet'!$B$11,Paramètres!$A$1:$I$89,5,0)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295.24773087079586</v>
      </c>
      <c r="BI4" s="62">
        <f ca="1">AVERAGE(OFFSET($BH$3,0,0,'Données projet'!$E$11+1,1))-AVERAGE(OFFSET($H$3,0,0,'Données projet'!$E$11+1,1))</f>
        <v>287.29865338866551</v>
      </c>
      <c r="BJ4" s="62">
        <f>$BJ$3</f>
        <v>217.57508587672368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</v>
      </c>
      <c r="N5" s="14">
        <f>IF('Données projet'!$A$36&gt;35,N4+M5-V4,IF(A5&lt;'Données projet'!$A$36,$K$205^A5,IF(A5='Données projet'!$A$36,'Données projet'!$B$36,N4+M5-V4)))</f>
        <v>1.6640399262616805</v>
      </c>
      <c r="O5" s="14">
        <f>N5*VLOOKUP('Données projet'!$B$9,Paramètres!$A$1:$I$89,3,0)*VLOOKUP('Données projet'!$B$9,Paramètres!$A$1:$I$89,5,0)</f>
        <v>0.93019831878027937</v>
      </c>
      <c r="P5" s="14">
        <f t="shared" ref="P5:P68" si="33">EXP(-1.0587+0.8836*LN(O5)+0.284)</f>
        <v>0.43230018467776149</v>
      </c>
      <c r="Q5" s="22">
        <f t="shared" si="2"/>
        <v>2.3730182268560873</v>
      </c>
      <c r="R5" s="62">
        <f t="shared" si="0"/>
        <v>295.70635156018938</v>
      </c>
      <c r="S5" s="62">
        <f ca="1">AVERAGE(OFFSET($R$3,0,0,'Données projet'!$E$9+1,1))-AVERAGE(OFFSET($H$3,0,0,'Données projet'!$E$9+1,1))</f>
        <v>302.20483575440988</v>
      </c>
      <c r="T5" s="62">
        <f t="shared" ref="T5:T68" si="34">$T$3</f>
        <v>275.32862097158687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6.2222222222222223</v>
      </c>
      <c r="AI5" s="14">
        <f>IF('Données projet'!$A$62&gt;35,AI4+AH5-AQ4,IF(A5&lt;'Données projet'!$A$62,$AF$205^A5,IF(A5='Données projet'!$A$62,'Données projet'!$B$62,AI4+AH5-AQ4)))</f>
        <v>1.6892381903525915</v>
      </c>
      <c r="AJ5" s="14">
        <f>AI5*VLOOKUP('Données projet'!$B$10,Paramètres!$A$1:$I$89,3,0)*VLOOKUP('Données projet'!$B$10,Paramètres!$A$1:$I$89,5,0)</f>
        <v>1.0540846307800171</v>
      </c>
      <c r="AK5" s="14">
        <f t="shared" ref="AK5:AK68" si="35">EXP(-1.0587+0.8836*LN(AJ5)+0.284)</f>
        <v>0.48279730809434274</v>
      </c>
      <c r="AL5" s="22">
        <f t="shared" si="4"/>
        <v>2.6767360435395098</v>
      </c>
      <c r="AM5" s="62">
        <f t="shared" si="5"/>
        <v>296.01006937687282</v>
      </c>
      <c r="AN5" s="62">
        <f ca="1">AVERAGE(OFFSET($AM$3,0,0,'Données projet'!$E$10+1,1))-AVERAGE(OFFSET($H$3,0,0,'Données projet'!$E$10+1,1))</f>
        <v>175.05987582828078</v>
      </c>
      <c r="AO5" s="62">
        <f t="shared" ref="AO5:AO68" si="36">$AO$3</f>
        <v>268.54782308462387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projet'!$B$11,Paramètres!$A$1:$I$89,3,0)*VLOOKUP('Données projet'!$B$11,Paramètres!$A$1:$I$89,5,0)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295.69646345569345</v>
      </c>
      <c r="BI5" s="62">
        <f ca="1">AVERAGE(OFFSET($BH$3,0,0,'Données projet'!$E$11+1,1))-AVERAGE(OFFSET($H$3,0,0,'Données projet'!$E$11+1,1))</f>
        <v>287.29865338866551</v>
      </c>
      <c r="BJ5" s="62">
        <f t="shared" ref="BJ5:BJ68" si="38">$BJ$3</f>
        <v>217.57508587672368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</v>
      </c>
      <c r="N6" s="14">
        <f>IF('Données projet'!$A$36&gt;35,N5+M6-V5,IF(A6&lt;'Données projet'!$A$36,$K$205^A6,IF(A6='Données projet'!$A$36,'Données projet'!$B$36,N5+M6-V5)))</f>
        <v>2.1465727583654437</v>
      </c>
      <c r="O6" s="14">
        <f>N6*VLOOKUP('Données projet'!$B$9,Paramètres!$A$1:$I$89,3,0)*VLOOKUP('Données projet'!$B$9,Paramètres!$A$1:$I$89,5,0)</f>
        <v>1.199934171926283</v>
      </c>
      <c r="P6" s="14">
        <f t="shared" si="33"/>
        <v>0.54137171618945512</v>
      </c>
      <c r="Q6" s="22">
        <f t="shared" si="2"/>
        <v>3.0327744218015771</v>
      </c>
      <c r="R6" s="62">
        <f t="shared" si="0"/>
        <v>296.36610775513492</v>
      </c>
      <c r="S6" s="62">
        <f ca="1">AVERAGE(OFFSET($R$3,0,0,'Données projet'!$E$9+1,1))-AVERAGE(OFFSET($H$3,0,0,'Données projet'!$E$9+1,1))</f>
        <v>302.20483575440988</v>
      </c>
      <c r="T6" s="62">
        <f t="shared" si="34"/>
        <v>275.32862097158687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6.2222222222222223</v>
      </c>
      <c r="AI6" s="14">
        <f>IF('Données projet'!$A$62&gt;35,AI5+AH6-AQ5,IF(A6&lt;'Données projet'!$A$62,$AF$205^A6,IF(A6='Données projet'!$A$62,'Données projet'!$B$62,AI5+AH6-AQ5)))</f>
        <v>2.1955146386099229</v>
      </c>
      <c r="AJ6" s="14">
        <f>AI6*VLOOKUP('Données projet'!$B$10,Paramètres!$A$1:$I$89,3,0)*VLOOKUP('Données projet'!$B$10,Paramètres!$A$1:$I$89,5,0)</f>
        <v>1.3700011344925918</v>
      </c>
      <c r="AK6" s="14">
        <f t="shared" si="35"/>
        <v>0.60863745619068288</v>
      </c>
      <c r="AL6" s="22">
        <f t="shared" si="4"/>
        <v>3.4461288787733699</v>
      </c>
      <c r="AM6" s="62">
        <f t="shared" si="5"/>
        <v>296.77946221210669</v>
      </c>
      <c r="AN6" s="62">
        <f ca="1">AVERAGE(OFFSET($AM$3,0,0,'Données projet'!$E$10+1,1))-AVERAGE(OFFSET($H$3,0,0,'Données projet'!$E$10+1,1))</f>
        <v>175.05987582828078</v>
      </c>
      <c r="AO6" s="62">
        <f t="shared" si="36"/>
        <v>268.54782308462387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projet'!$B$11,Paramètres!$A$1:$I$89,3,0)*VLOOKUP('Données projet'!$B$11,Paramètres!$A$1:$I$89,5,0)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296.25078815720536</v>
      </c>
      <c r="BI6" s="62">
        <f ca="1">AVERAGE(OFFSET($BH$3,0,0,'Données projet'!$E$11+1,1))-AVERAGE(OFFSET($H$3,0,0,'Données projet'!$E$11+1,1))</f>
        <v>287.29865338866551</v>
      </c>
      <c r="BJ6" s="62">
        <f t="shared" si="38"/>
        <v>217.57508587672368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</v>
      </c>
      <c r="N7" s="14">
        <f>IF('Données projet'!$A$36&gt;35,N6+M7-V6,IF(A7&lt;'Données projet'!$A$36,$K$205^A7,IF(A7='Données projet'!$A$36,'Données projet'!$B$36,N6+M7-V6)))</f>
        <v>2.7690288761929791</v>
      </c>
      <c r="O7" s="14">
        <f>N7*VLOOKUP('Données projet'!$B$9,Paramètres!$A$1:$I$89,3,0)*VLOOKUP('Données projet'!$B$9,Paramètres!$A$1:$I$89,5,0)</f>
        <v>1.5478871417918754</v>
      </c>
      <c r="P7" s="14">
        <f t="shared" si="33"/>
        <v>0.67796254889037699</v>
      </c>
      <c r="Q7" s="22">
        <f t="shared" si="2"/>
        <v>3.8766882112715897</v>
      </c>
      <c r="R7" s="62">
        <f t="shared" si="0"/>
        <v>297.2100215446049</v>
      </c>
      <c r="S7" s="62">
        <f ca="1">AVERAGE(OFFSET($R$3,0,0,'Données projet'!$E$9+1,1))-AVERAGE(OFFSET($H$3,0,0,'Données projet'!$E$9+1,1))</f>
        <v>302.20483575440988</v>
      </c>
      <c r="T7" s="62">
        <f t="shared" si="34"/>
        <v>275.32862097158687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6.2222222222222223</v>
      </c>
      <c r="AI7" s="14">
        <f>IF('Données projet'!$A$62&gt;35,AI6+AH7-AQ6,IF(A7&lt;'Données projet'!$A$62,$AF$205^A7,IF(A7='Données projet'!$A$62,'Données projet'!$B$62,AI6+AH7-AQ6)))</f>
        <v>2.8535256637456983</v>
      </c>
      <c r="AJ7" s="14">
        <f>AI7*VLOOKUP('Données projet'!$B$10,Paramètres!$A$1:$I$89,3,0)*VLOOKUP('Données projet'!$B$10,Paramètres!$A$1:$I$89,5,0)</f>
        <v>1.7806000141773157</v>
      </c>
      <c r="AK7" s="14">
        <f t="shared" si="35"/>
        <v>0.76727758599241935</v>
      </c>
      <c r="AL7" s="22">
        <f t="shared" si="4"/>
        <v>4.4375534869622877</v>
      </c>
      <c r="AM7" s="62">
        <f t="shared" si="5"/>
        <v>297.77088682029563</v>
      </c>
      <c r="AN7" s="62">
        <f ca="1">AVERAGE(OFFSET($AM$3,0,0,'Données projet'!$E$10+1,1))-AVERAGE(OFFSET($H$3,0,0,'Données projet'!$E$10+1,1))</f>
        <v>175.05987582828078</v>
      </c>
      <c r="AO7" s="62">
        <f t="shared" si="36"/>
        <v>268.54782308462387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projet'!$B$11,Paramètres!$A$1:$I$89,3,0)*VLOOKUP('Données projet'!$B$11,Paramètres!$A$1:$I$89,5,0)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296.93564317983407</v>
      </c>
      <c r="BI7" s="62">
        <f ca="1">AVERAGE(OFFSET($BH$3,0,0,'Données projet'!$E$11+1,1))-AVERAGE(OFFSET($H$3,0,0,'Données projet'!$E$11+1,1))</f>
        <v>287.29865338866551</v>
      </c>
      <c r="BJ7" s="62">
        <f t="shared" si="38"/>
        <v>217.57508587672368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</v>
      </c>
      <c r="N8" s="14">
        <f>IF('Données projet'!$A$36&gt;35,N7+M8-V7,IF(A8&lt;'Données projet'!$A$36,$K$205^A8,IF(A8='Données projet'!$A$36,'Données projet'!$B$36,N7+M8-V7)))</f>
        <v>3.5719827745457646</v>
      </c>
      <c r="O8" s="14">
        <f>N8*VLOOKUP('Données projet'!$B$9,Paramètres!$A$1:$I$89,3,0)*VLOOKUP('Données projet'!$B$9,Paramètres!$A$1:$I$89,5,0)</f>
        <v>1.9967383709710824</v>
      </c>
      <c r="P8" s="14">
        <f t="shared" si="33"/>
        <v>0.84901594219430265</v>
      </c>
      <c r="Q8" s="22">
        <f t="shared" si="2"/>
        <v>4.9563554287630449</v>
      </c>
      <c r="R8" s="62">
        <f t="shared" si="0"/>
        <v>298.28968876209638</v>
      </c>
      <c r="S8" s="62">
        <f ca="1">AVERAGE(OFFSET($R$3,0,0,'Données projet'!$E$9+1,1))-AVERAGE(OFFSET($H$3,0,0,'Données projet'!$E$9+1,1))</f>
        <v>302.20483575440988</v>
      </c>
      <c r="T8" s="62">
        <f t="shared" si="34"/>
        <v>275.32862097158687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6.2222222222222223</v>
      </c>
      <c r="AI8" s="14">
        <f>IF('Données projet'!$A$62&gt;35,AI7+AH8-AQ7,IF(A8&lt;'Données projet'!$A$62,$AF$205^A8,IF(A8='Données projet'!$A$62,'Données projet'!$B$62,AI7+AH8-AQ7)))</f>
        <v>3.7087471750180505</v>
      </c>
      <c r="AJ8" s="14">
        <f>AI8*VLOOKUP('Données projet'!$B$10,Paramètres!$A$1:$I$89,3,0)*VLOOKUP('Données projet'!$B$10,Paramètres!$A$1:$I$89,5,0)</f>
        <v>2.3142582372112632</v>
      </c>
      <c r="AK8" s="14">
        <f t="shared" si="35"/>
        <v>0.96726694681425085</v>
      </c>
      <c r="AL8" s="22">
        <f t="shared" si="4"/>
        <v>5.7153230288444377</v>
      </c>
      <c r="AM8" s="62">
        <f t="shared" si="5"/>
        <v>299.04865636217778</v>
      </c>
      <c r="AN8" s="62">
        <f ca="1">AVERAGE(OFFSET($AM$3,0,0,'Données projet'!$E$10+1,1))-AVERAGE(OFFSET($H$3,0,0,'Données projet'!$E$10+1,1))</f>
        <v>175.05987582828078</v>
      </c>
      <c r="AO8" s="62">
        <f t="shared" si="36"/>
        <v>268.54782308462387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projet'!$B$11,Paramètres!$A$1:$I$89,3,0)*VLOOKUP('Données projet'!$B$11,Paramètres!$A$1:$I$89,5,0)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297.78187669303162</v>
      </c>
      <c r="BI8" s="62">
        <f ca="1">AVERAGE(OFFSET($BH$3,0,0,'Données projet'!$E$11+1,1))-AVERAGE(OFFSET($H$3,0,0,'Données projet'!$E$11+1,1))</f>
        <v>287.29865338866551</v>
      </c>
      <c r="BJ8" s="62">
        <f t="shared" si="38"/>
        <v>217.57508587672368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</v>
      </c>
      <c r="N9" s="14">
        <f>IF('Données projet'!$A$36&gt;35,N8+M9-V8,IF(A9&lt;'Données projet'!$A$36,$K$205^A9,IF(A9='Données projet'!$A$36,'Données projet'!$B$36,N8+M9-V8)))</f>
        <v>4.607774606956629</v>
      </c>
      <c r="O9" s="14">
        <f>N9*VLOOKUP('Données projet'!$B$9,Paramètres!$A$1:$I$89,3,0)*VLOOKUP('Données projet'!$B$9,Paramètres!$A$1:$I$89,5,0)</f>
        <v>2.5757460052887557</v>
      </c>
      <c r="P9" s="14">
        <f t="shared" si="33"/>
        <v>1.0632269751181105</v>
      </c>
      <c r="Q9" s="22">
        <f t="shared" si="2"/>
        <v>6.3378779408752912</v>
      </c>
      <c r="R9" s="62">
        <f t="shared" si="0"/>
        <v>299.67121127420859</v>
      </c>
      <c r="S9" s="62">
        <f ca="1">AVERAGE(OFFSET($R$3,0,0,'Données projet'!$E$9+1,1))-AVERAGE(OFFSET($H$3,0,0,'Données projet'!$E$9+1,1))</f>
        <v>302.20483575440988</v>
      </c>
      <c r="T9" s="62">
        <f t="shared" si="34"/>
        <v>275.32862097158687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6.2222222222222223</v>
      </c>
      <c r="AI9" s="14">
        <f>IF('Données projet'!$A$62&gt;35,AI8+AH9-AQ8,IF(A9&lt;'Données projet'!$A$62,$AF$205^A9,IF(A9='Données projet'!$A$62,'Données projet'!$B$62,AI8+AH9-AQ8)))</f>
        <v>4.8202845283504612</v>
      </c>
      <c r="AJ9" s="14">
        <f>AI9*VLOOKUP('Données projet'!$B$10,Paramètres!$A$1:$I$89,3,0)*VLOOKUP('Données projet'!$B$10,Paramètres!$A$1:$I$89,5,0)</f>
        <v>3.0078575456906878</v>
      </c>
      <c r="AK9" s="14">
        <f t="shared" si="35"/>
        <v>1.2193831326236693</v>
      </c>
      <c r="AL9" s="22">
        <f t="shared" si="4"/>
        <v>7.3624441813975059</v>
      </c>
      <c r="AM9" s="62">
        <f t="shared" si="5"/>
        <v>300.69577751473082</v>
      </c>
      <c r="AN9" s="62">
        <f ca="1">AVERAGE(OFFSET($AM$3,0,0,'Données projet'!$E$10+1,1))-AVERAGE(OFFSET($H$3,0,0,'Données projet'!$E$10+1,1))</f>
        <v>175.05987582828078</v>
      </c>
      <c r="AO9" s="62">
        <f t="shared" si="36"/>
        <v>268.54782308462387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projet'!$B$11,Paramètres!$A$1:$I$89,3,0)*VLOOKUP('Données projet'!$B$11,Paramètres!$A$1:$I$89,5,0)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298.82765185669996</v>
      </c>
      <c r="BI9" s="62">
        <f ca="1">AVERAGE(OFFSET($BH$3,0,0,'Données projet'!$E$11+1,1))-AVERAGE(OFFSET($H$3,0,0,'Données projet'!$E$11+1,1))</f>
        <v>287.29865338866551</v>
      </c>
      <c r="BJ9" s="62">
        <f t="shared" si="38"/>
        <v>217.57508587672368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</v>
      </c>
      <c r="N10" s="14">
        <f>IF('Données projet'!$A$36&gt;35,N9+M10-V9,IF(A10&lt;'Données projet'!$A$36,$K$205^A10,IF(A10='Données projet'!$A$36,'Données projet'!$B$36,N9+M10-V9)))</f>
        <v>5.9439219527631275</v>
      </c>
      <c r="O10" s="14">
        <f>N10*VLOOKUP('Données projet'!$B$9,Paramètres!$A$1:$I$89,3,0)*VLOOKUP('Données projet'!$B$9,Paramètres!$A$1:$I$89,5,0)</f>
        <v>3.3226523715945881</v>
      </c>
      <c r="P10" s="14">
        <f t="shared" si="33"/>
        <v>1.3314845392621566</v>
      </c>
      <c r="Q10" s="22">
        <f t="shared" si="2"/>
        <v>8.1059551197421627</v>
      </c>
      <c r="R10" s="62">
        <f t="shared" si="0"/>
        <v>301.43928845307551</v>
      </c>
      <c r="S10" s="62">
        <f ca="1">AVERAGE(OFFSET($R$3,0,0,'Données projet'!$E$9+1,1))-AVERAGE(OFFSET($H$3,0,0,'Données projet'!$E$9+1,1))</f>
        <v>302.20483575440988</v>
      </c>
      <c r="T10" s="62">
        <f t="shared" si="34"/>
        <v>275.32862097158687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6.2222222222222223</v>
      </c>
      <c r="AI10" s="14">
        <f>IF('Données projet'!$A$62&gt;35,AI9+AH10-AQ9,IF(A10&lt;'Données projet'!$A$62,$AF$205^A10,IF(A10='Données projet'!$A$62,'Données projet'!$B$62,AI9+AH10-AQ9)))</f>
        <v>6.2649573664027773</v>
      </c>
      <c r="AJ10" s="14">
        <f>AI10*VLOOKUP('Données projet'!$B$10,Paramètres!$A$1:$I$89,3,0)*VLOOKUP('Données projet'!$B$10,Paramètres!$A$1:$I$89,5,0)</f>
        <v>3.9093333966353332</v>
      </c>
      <c r="AK10" s="14">
        <f t="shared" si="35"/>
        <v>1.5372128955964925</v>
      </c>
      <c r="AL10" s="22">
        <f t="shared" si="4"/>
        <v>9.4860681256370967</v>
      </c>
      <c r="AM10" s="62">
        <f t="shared" si="5"/>
        <v>302.81940145897039</v>
      </c>
      <c r="AN10" s="62">
        <f ca="1">AVERAGE(OFFSET($AM$3,0,0,'Données projet'!$E$10+1,1))-AVERAGE(OFFSET($H$3,0,0,'Données projet'!$E$10+1,1))</f>
        <v>175.05987582828078</v>
      </c>
      <c r="AO10" s="62">
        <f t="shared" si="36"/>
        <v>268.54782308462387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projet'!$B$11,Paramètres!$A$1:$I$89,3,0)*VLOOKUP('Données projet'!$B$11,Paramètres!$A$1:$I$89,5,0)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300.12018685543694</v>
      </c>
      <c r="BI10" s="62">
        <f ca="1">AVERAGE(OFFSET($BH$3,0,0,'Données projet'!$E$11+1,1))-AVERAGE(OFFSET($H$3,0,0,'Données projet'!$E$11+1,1))</f>
        <v>287.29865338866551</v>
      </c>
      <c r="BJ10" s="62">
        <f t="shared" si="38"/>
        <v>217.57508587672368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</v>
      </c>
      <c r="N11" s="14">
        <f>IF('Données projet'!$A$36&gt;35,N10+M11-V10,IF(A11&lt;'Données projet'!$A$36,$K$205^A11,IF(A11='Données projet'!$A$36,'Données projet'!$B$36,N10+M11-V10)))</f>
        <v>7.6675209171905525</v>
      </c>
      <c r="O11" s="14">
        <f>N11*VLOOKUP('Données projet'!$B$9,Paramètres!$A$1:$I$89,3,0)*VLOOKUP('Données projet'!$B$9,Paramètres!$A$1:$I$89,5,0)</f>
        <v>4.2861441927095187</v>
      </c>
      <c r="P11" s="14">
        <f t="shared" si="33"/>
        <v>1.6674248488637313</v>
      </c>
      <c r="Q11" s="22">
        <f t="shared" si="2"/>
        <v>10.369132747406743</v>
      </c>
      <c r="R11" s="62">
        <f t="shared" si="0"/>
        <v>303.70246608074007</v>
      </c>
      <c r="S11" s="62">
        <f ca="1">AVERAGE(OFFSET($R$3,0,0,'Données projet'!$E$9+1,1))-AVERAGE(OFFSET($H$3,0,0,'Données projet'!$E$9+1,1))</f>
        <v>302.20483575440988</v>
      </c>
      <c r="T11" s="62">
        <f t="shared" si="34"/>
        <v>275.32862097158687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6.2222222222222223</v>
      </c>
      <c r="AI11" s="14">
        <f>IF('Données projet'!$A$62&gt;35,AI10+AH11-AQ10,IF(A11&lt;'Données projet'!$A$62,$AF$205^A11,IF(A11='Données projet'!$A$62,'Données projet'!$B$62,AI10+AH11-AQ10)))</f>
        <v>8.1426087136553278</v>
      </c>
      <c r="AJ11" s="14">
        <f>AI11*VLOOKUP('Données projet'!$B$10,Paramètres!$A$1:$I$89,3,0)*VLOOKUP('Données projet'!$B$10,Paramètres!$A$1:$I$89,5,0)</f>
        <v>5.080987837320925</v>
      </c>
      <c r="AK11" s="14">
        <f t="shared" si="35"/>
        <v>1.9378843475584122</v>
      </c>
      <c r="AL11" s="22">
        <f t="shared" si="4"/>
        <v>12.224535721998178</v>
      </c>
      <c r="AM11" s="62">
        <f t="shared" si="5"/>
        <v>305.55786905533148</v>
      </c>
      <c r="AN11" s="62">
        <f ca="1">AVERAGE(OFFSET($AM$3,0,0,'Données projet'!$E$10+1,1))-AVERAGE(OFFSET($H$3,0,0,'Données projet'!$E$10+1,1))</f>
        <v>175.05987582828078</v>
      </c>
      <c r="AO11" s="62">
        <f t="shared" si="36"/>
        <v>268.54782308462387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projet'!$B$11,Paramètres!$A$1:$I$89,3,0)*VLOOKUP('Données projet'!$B$11,Paramètres!$A$1:$I$89,5,0)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301.71791003464585</v>
      </c>
      <c r="BI11" s="62">
        <f ca="1">AVERAGE(OFFSET($BH$3,0,0,'Données projet'!$E$11+1,1))-AVERAGE(OFFSET($H$3,0,0,'Données projet'!$E$11+1,1))</f>
        <v>287.29865338866551</v>
      </c>
      <c r="BJ11" s="62">
        <f t="shared" si="38"/>
        <v>217.57508587672368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</v>
      </c>
      <c r="N12" s="14">
        <f>IF('Données projet'!$A$36&gt;35,N11+M12-V11,IF(A12&lt;'Données projet'!$A$36,$K$205^A12,IF(A12='Données projet'!$A$36,'Données projet'!$B$36,N11+M12-V11)))</f>
        <v>9.8909234479811374</v>
      </c>
      <c r="O12" s="14">
        <f>N12*VLOOKUP('Données projet'!$B$9,Paramètres!$A$1:$I$89,3,0)*VLOOKUP('Données projet'!$B$9,Paramètres!$A$1:$I$89,5,0)</f>
        <v>5.529026207421456</v>
      </c>
      <c r="P12" s="14">
        <f t="shared" si="33"/>
        <v>2.0881246042473354</v>
      </c>
      <c r="Q12" s="22">
        <f t="shared" si="2"/>
        <v>13.266537663656479</v>
      </c>
      <c r="R12" s="62">
        <f t="shared" si="0"/>
        <v>306.59987099698981</v>
      </c>
      <c r="S12" s="62">
        <f ca="1">AVERAGE(OFFSET($R$3,0,0,'Données projet'!$E$9+1,1))-AVERAGE(OFFSET($H$3,0,0,'Données projet'!$E$9+1,1))</f>
        <v>302.20483575440988</v>
      </c>
      <c r="T12" s="62">
        <f t="shared" si="34"/>
        <v>275.32862097158687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6.2222222222222223</v>
      </c>
      <c r="AI12" s="14">
        <f>IF('Données projet'!$A$62&gt;35,AI11+AH12-AQ11,IF(A12&lt;'Données projet'!$A$62,$AF$205^A12,IF(A12='Données projet'!$A$62,'Données projet'!$B$62,AI11+AH12-AQ11)))</f>
        <v>10.583005244258365</v>
      </c>
      <c r="AJ12" s="14">
        <f>AI12*VLOOKUP('Données projet'!$B$10,Paramètres!$A$1:$I$89,3,0)*VLOOKUP('Données projet'!$B$10,Paramètres!$A$1:$I$89,5,0)</f>
        <v>6.6037952724172193</v>
      </c>
      <c r="AK12" s="14">
        <f t="shared" si="35"/>
        <v>2.4429900082608067</v>
      </c>
      <c r="AL12" s="22">
        <f t="shared" si="4"/>
        <v>15.75648436384756</v>
      </c>
      <c r="AM12" s="62">
        <f t="shared" si="5"/>
        <v>309.08981769718088</v>
      </c>
      <c r="AN12" s="62">
        <f ca="1">AVERAGE(OFFSET($AM$3,0,0,'Données projet'!$E$10+1,1))-AVERAGE(OFFSET($H$3,0,0,'Données projet'!$E$10+1,1))</f>
        <v>175.05987582828078</v>
      </c>
      <c r="AO12" s="62">
        <f t="shared" si="36"/>
        <v>268.54782308462387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projet'!$B$11,Paramètres!$A$1:$I$89,3,0)*VLOOKUP('Données projet'!$B$11,Paramètres!$A$1:$I$89,5,0)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303.69312942710241</v>
      </c>
      <c r="BI12" s="62">
        <f ca="1">AVERAGE(OFFSET($BH$3,0,0,'Données projet'!$E$11+1,1))-AVERAGE(OFFSET($H$3,0,0,'Données projet'!$E$11+1,1))</f>
        <v>287.29865338866551</v>
      </c>
      <c r="BJ12" s="62">
        <f t="shared" si="38"/>
        <v>217.57508587672368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</v>
      </c>
      <c r="N13" s="14">
        <f>IF('Données projet'!$A$36&gt;35,N12+M13-V12,IF(A13&lt;'Données projet'!$A$36,$K$205^A13,IF(A13='Données projet'!$A$36,'Données projet'!$B$36,N12+M13-V12)))</f>
        <v>12.75906094165166</v>
      </c>
      <c r="O13" s="14">
        <f>N13*VLOOKUP('Données projet'!$B$9,Paramètres!$A$1:$I$89,3,0)*VLOOKUP('Données projet'!$B$9,Paramètres!$A$1:$I$89,5,0)</f>
        <v>7.1323150663832777</v>
      </c>
      <c r="P13" s="14">
        <f t="shared" si="33"/>
        <v>2.6149690439328648</v>
      </c>
      <c r="Q13" s="22">
        <f t="shared" si="2"/>
        <v>16.976519825467278</v>
      </c>
      <c r="R13" s="62">
        <f t="shared" si="0"/>
        <v>310.30985315880059</v>
      </c>
      <c r="S13" s="62">
        <f ca="1">AVERAGE(OFFSET($R$3,0,0,'Données projet'!$E$9+1,1))-AVERAGE(OFFSET($H$3,0,0,'Données projet'!$E$9+1,1))</f>
        <v>302.20483575440988</v>
      </c>
      <c r="T13" s="62">
        <f t="shared" si="34"/>
        <v>275.32862097158687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6.2222222222222223</v>
      </c>
      <c r="AI13" s="14">
        <f>IF('Données projet'!$A$62&gt;35,AI12+AH13-AQ12,IF(A13&lt;'Données projet'!$A$62,$AF$205^A13,IF(A13='Données projet'!$A$62,'Données projet'!$B$62,AI12+AH13-AQ12)))</f>
        <v>13.754805608204368</v>
      </c>
      <c r="AJ13" s="14">
        <f>AI13*VLOOKUP('Données projet'!$B$10,Paramètres!$A$1:$I$89,3,0)*VLOOKUP('Données projet'!$B$10,Paramètres!$A$1:$I$89,5,0)</f>
        <v>8.5829986995195267</v>
      </c>
      <c r="AK13" s="14">
        <f t="shared" si="35"/>
        <v>3.0797504443346257</v>
      </c>
      <c r="AL13" s="22">
        <f t="shared" si="4"/>
        <v>20.312621425545984</v>
      </c>
      <c r="AM13" s="62">
        <f t="shared" si="5"/>
        <v>313.64595475887927</v>
      </c>
      <c r="AN13" s="62">
        <f ca="1">AVERAGE(OFFSET($AM$3,0,0,'Données projet'!$E$10+1,1))-AVERAGE(OFFSET($H$3,0,0,'Données projet'!$E$10+1,1))</f>
        <v>175.05987582828078</v>
      </c>
      <c r="AO13" s="62">
        <f t="shared" si="36"/>
        <v>268.54782308462387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projet'!$B$11,Paramètres!$A$1:$I$89,3,0)*VLOOKUP('Données projet'!$B$11,Paramètres!$A$1:$I$89,5,0)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306.13533976477066</v>
      </c>
      <c r="BI13" s="62">
        <f ca="1">AVERAGE(OFFSET($BH$3,0,0,'Données projet'!$E$11+1,1))-AVERAGE(OFFSET($H$3,0,0,'Données projet'!$E$11+1,1))</f>
        <v>287.29865338866551</v>
      </c>
      <c r="BJ13" s="62">
        <f t="shared" si="38"/>
        <v>217.57508587672368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</v>
      </c>
      <c r="N14" s="14">
        <f>IF('Données projet'!$A$36&gt;35,N13+M14-V13,IF(A14&lt;'Données projet'!$A$36,$K$205^A14,IF(A14='Données projet'!$A$36,'Données projet'!$B$36,N13+M14-V13)))</f>
        <v>16.45889152503846</v>
      </c>
      <c r="O14" s="14">
        <f>N14*VLOOKUP('Données projet'!$B$9,Paramètres!$A$1:$I$89,3,0)*VLOOKUP('Données projet'!$B$9,Paramètres!$A$1:$I$89,5,0)</f>
        <v>9.2005203624964995</v>
      </c>
      <c r="P14" s="14">
        <f t="shared" si="33"/>
        <v>3.2747390106980423</v>
      </c>
      <c r="Q14" s="22">
        <f t="shared" si="2"/>
        <v>21.727743408313824</v>
      </c>
      <c r="R14" s="62">
        <f t="shared" si="0"/>
        <v>315.06107674164713</v>
      </c>
      <c r="S14" s="62">
        <f ca="1">AVERAGE(OFFSET($R$3,0,0,'Données projet'!$E$9+1,1))-AVERAGE(OFFSET($H$3,0,0,'Données projet'!$E$9+1,1))</f>
        <v>302.20483575440988</v>
      </c>
      <c r="T14" s="62">
        <f t="shared" si="34"/>
        <v>275.32862097158687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6.2222222222222223</v>
      </c>
      <c r="AI14" s="14">
        <f>IF('Données projet'!$A$62&gt;35,AI13+AH14-AQ13,IF(A14&lt;'Données projet'!$A$62,$AF$205^A14,IF(A14='Données projet'!$A$62,'Données projet'!$B$62,AI13+AH14-AQ13)))</f>
        <v>17.877216627302985</v>
      </c>
      <c r="AJ14" s="14">
        <f>AI14*VLOOKUP('Données projet'!$B$10,Paramètres!$A$1:$I$89,3,0)*VLOOKUP('Données projet'!$B$10,Paramètres!$A$1:$I$89,5,0)</f>
        <v>11.155383175437063</v>
      </c>
      <c r="AK14" s="14">
        <f t="shared" si="35"/>
        <v>3.8824812083990929</v>
      </c>
      <c r="AL14" s="22">
        <f t="shared" si="4"/>
        <v>26.1909471351813</v>
      </c>
      <c r="AM14" s="62">
        <f t="shared" si="5"/>
        <v>319.52428046851463</v>
      </c>
      <c r="AN14" s="62">
        <f ca="1">AVERAGE(OFFSET($AM$3,0,0,'Données projet'!$E$10+1,1))-AVERAGE(OFFSET($H$3,0,0,'Données projet'!$E$10+1,1))</f>
        <v>175.05987582828078</v>
      </c>
      <c r="AO14" s="62">
        <f t="shared" si="36"/>
        <v>268.54782308462387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projet'!$B$11,Paramètres!$A$1:$I$89,3,0)*VLOOKUP('Données projet'!$B$11,Paramètres!$A$1:$I$89,5,0)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309.15531959729486</v>
      </c>
      <c r="BI14" s="62">
        <f ca="1">AVERAGE(OFFSET($BH$3,0,0,'Données projet'!$E$11+1,1))-AVERAGE(OFFSET($H$3,0,0,'Données projet'!$E$11+1,1))</f>
        <v>287.29865338866551</v>
      </c>
      <c r="BJ14" s="62">
        <f t="shared" si="38"/>
        <v>217.57508587672368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</v>
      </c>
      <c r="N15" s="14">
        <f>IF('Données projet'!$A$36&gt;35,N14+M15-V14,IF(A15&lt;'Données projet'!$A$36,$K$205^A15,IF(A15='Données projet'!$A$36,'Données projet'!$B$36,N14+M15-V14)))</f>
        <v>21.231586828514317</v>
      </c>
      <c r="O15" s="14">
        <f>N15*VLOOKUP('Données projet'!$B$9,Paramètres!$A$1:$I$89,3,0)*VLOOKUP('Données projet'!$B$9,Paramètres!$A$1:$I$89,5,0)</f>
        <v>11.868457037139505</v>
      </c>
      <c r="P15" s="14">
        <f t="shared" si="33"/>
        <v>4.1009722899277703</v>
      </c>
      <c r="Q15" s="22">
        <f t="shared" si="2"/>
        <v>27.813422744642168</v>
      </c>
      <c r="R15" s="62">
        <f t="shared" si="0"/>
        <v>321.14675607797551</v>
      </c>
      <c r="S15" s="62">
        <f ca="1">AVERAGE(OFFSET($R$3,0,0,'Données projet'!$E$9+1,1))-AVERAGE(OFFSET($H$3,0,0,'Données projet'!$E$9+1,1))</f>
        <v>302.20483575440988</v>
      </c>
      <c r="T15" s="62">
        <f t="shared" si="34"/>
        <v>275.32862097158687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6.2222222222222223</v>
      </c>
      <c r="AI15" s="14">
        <f>IF('Données projet'!$A$62&gt;35,AI14+AH15-AQ14,IF(A15&lt;'Données projet'!$A$62,$AF$205^A15,IF(A15='Données projet'!$A$62,'Données projet'!$B$62,AI14+AH15-AQ14)))</f>
        <v>23.235142934254824</v>
      </c>
      <c r="AJ15" s="14">
        <f>AI15*VLOOKUP('Données projet'!$B$10,Paramètres!$A$1:$I$89,3,0)*VLOOKUP('Données projet'!$B$10,Paramètres!$A$1:$I$89,5,0)</f>
        <v>14.498729190975009</v>
      </c>
      <c r="AK15" s="14">
        <f t="shared" si="35"/>
        <v>4.8944421329010357</v>
      </c>
      <c r="AL15" s="22">
        <f t="shared" si="4"/>
        <v>33.776440055750776</v>
      </c>
      <c r="AM15" s="62">
        <f t="shared" si="5"/>
        <v>327.10977338908407</v>
      </c>
      <c r="AN15" s="62">
        <f ca="1">AVERAGE(OFFSET($AM$3,0,0,'Données projet'!$E$10+1,1))-AVERAGE(OFFSET($H$3,0,0,'Données projet'!$E$10+1,1))</f>
        <v>175.05987582828078</v>
      </c>
      <c r="AO15" s="62">
        <f t="shared" si="36"/>
        <v>268.54782308462387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projet'!$B$11,Paramètres!$A$1:$I$89,3,0)*VLOOKUP('Données projet'!$B$11,Paramètres!$A$1:$I$89,5,0)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312.8902077629582</v>
      </c>
      <c r="BI15" s="62">
        <f ca="1">AVERAGE(OFFSET($BH$3,0,0,'Données projet'!$E$11+1,1))-AVERAGE(OFFSET($H$3,0,0,'Données projet'!$E$11+1,1))</f>
        <v>287.29865338866551</v>
      </c>
      <c r="BJ15" s="62">
        <f t="shared" si="38"/>
        <v>217.57508587672368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</v>
      </c>
      <c r="N16" s="14">
        <f>IF('Données projet'!$A$36&gt;35,N15+M16-V15,IF(A16&lt;'Données projet'!$A$36,$K$205^A16,IF(A16='Données projet'!$A$36,'Données projet'!$B$36,N15+M16-V15)))</f>
        <v>27.388252639673997</v>
      </c>
      <c r="O16" s="14">
        <f>N16*VLOOKUP('Données projet'!$B$9,Paramètres!$A$1:$I$89,3,0)*VLOOKUP('Données projet'!$B$9,Paramètres!$A$1:$I$89,5,0)</f>
        <v>15.310033225577765</v>
      </c>
      <c r="P16" s="14">
        <f t="shared" si="33"/>
        <v>5.1356684205409415</v>
      </c>
      <c r="Q16" s="22">
        <f t="shared" si="2"/>
        <v>35.609597033656748</v>
      </c>
      <c r="R16" s="62">
        <f t="shared" si="0"/>
        <v>328.94293036699008</v>
      </c>
      <c r="S16" s="62">
        <f ca="1">AVERAGE(OFFSET($R$3,0,0,'Données projet'!$E$9+1,1))-AVERAGE(OFFSET($H$3,0,0,'Données projet'!$E$9+1,1))</f>
        <v>302.20483575440988</v>
      </c>
      <c r="T16" s="62">
        <f t="shared" si="34"/>
        <v>275.32862097158687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6.2222222222222223</v>
      </c>
      <c r="AI16" s="14">
        <f>IF('Données projet'!$A$62&gt;35,AI15+AH16-AQ15,IF(A16&lt;'Données projet'!$A$62,$AF$205^A16,IF(A16='Données projet'!$A$62,'Données projet'!$B$62,AI15+AH16-AQ15)))</f>
        <v>30.19887706404656</v>
      </c>
      <c r="AJ16" s="14">
        <f>AI16*VLOOKUP('Données projet'!$B$10,Paramètres!$A$1:$I$89,3,0)*VLOOKUP('Données projet'!$B$10,Paramètres!$A$1:$I$89,5,0)</f>
        <v>18.844099287965054</v>
      </c>
      <c r="AK16" s="14">
        <f t="shared" si="35"/>
        <v>6.1701686386769925</v>
      </c>
      <c r="AL16" s="22">
        <f t="shared" si="4"/>
        <v>43.566516638901568</v>
      </c>
      <c r="AM16" s="62">
        <f t="shared" si="5"/>
        <v>336.8998499722349</v>
      </c>
      <c r="AN16" s="62">
        <f ca="1">AVERAGE(OFFSET($AM$3,0,0,'Données projet'!$E$10+1,1))-AVERAGE(OFFSET($H$3,0,0,'Données projet'!$E$10+1,1))</f>
        <v>175.05987582828078</v>
      </c>
      <c r="AO16" s="62">
        <f t="shared" si="36"/>
        <v>268.54782308462387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projet'!$B$11,Paramètres!$A$1:$I$89,3,0)*VLOOKUP('Données projet'!$B$11,Paramètres!$A$1:$I$89,5,0)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317.50979388947383</v>
      </c>
      <c r="BI16" s="62">
        <f ca="1">AVERAGE(OFFSET($BH$3,0,0,'Données projet'!$E$11+1,1))-AVERAGE(OFFSET($H$3,0,0,'Données projet'!$E$11+1,1))</f>
        <v>287.29865338866551</v>
      </c>
      <c r="BJ16" s="62">
        <f t="shared" si="38"/>
        <v>217.57508587672368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</v>
      </c>
      <c r="N17" s="14">
        <f>IF('Données projet'!$A$36&gt;35,N16+M17-V16,IF(A17&lt;'Données projet'!$A$36,$K$205^A17,IF(A17='Données projet'!$A$36,'Données projet'!$B$36,N16+M17-V16)))</f>
        <v>35.330208180539429</v>
      </c>
      <c r="O17" s="14">
        <f>N17*VLOOKUP('Données projet'!$B$9,Paramètres!$A$1:$I$89,3,0)*VLOOKUP('Données projet'!$B$9,Paramètres!$A$1:$I$89,5,0)</f>
        <v>19.749586372921542</v>
      </c>
      <c r="P17" s="14">
        <f t="shared" si="33"/>
        <v>6.4314236383699175</v>
      </c>
      <c r="Q17" s="22">
        <f t="shared" si="2"/>
        <v>45.598592436332616</v>
      </c>
      <c r="R17" s="62">
        <f t="shared" si="0"/>
        <v>338.93192576966595</v>
      </c>
      <c r="S17" s="62">
        <f ca="1">AVERAGE(OFFSET($R$3,0,0,'Données projet'!$E$9+1,1))-AVERAGE(OFFSET($H$3,0,0,'Données projet'!$E$9+1,1))</f>
        <v>302.20483575440988</v>
      </c>
      <c r="T17" s="62">
        <f t="shared" si="34"/>
        <v>275.32862097158687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6.2222222222222223</v>
      </c>
      <c r="AI17" s="14">
        <f>IF('Données projet'!$A$62&gt;35,AI16+AH17-AQ16,IF(A17&lt;'Données projet'!$A$62,$AF$205^A17,IF(A17='Données projet'!$A$62,'Données projet'!$B$62,AI16+AH17-AQ16)))</f>
        <v>39.249690802844427</v>
      </c>
      <c r="AJ17" s="14">
        <f>AI17*VLOOKUP('Données projet'!$B$10,Paramètres!$A$1:$I$89,3,0)*VLOOKUP('Données projet'!$B$10,Paramètres!$A$1:$I$89,5,0)</f>
        <v>24.491807060974921</v>
      </c>
      <c r="AK17" s="14">
        <f t="shared" si="35"/>
        <v>7.7784106944068903</v>
      </c>
      <c r="AL17" s="22">
        <f t="shared" si="4"/>
        <v>56.203962590623313</v>
      </c>
      <c r="AM17" s="62">
        <f t="shared" si="5"/>
        <v>349.53729592395661</v>
      </c>
      <c r="AN17" s="62">
        <f ca="1">AVERAGE(OFFSET($AM$3,0,0,'Données projet'!$E$10+1,1))-AVERAGE(OFFSET($H$3,0,0,'Données projet'!$E$10+1,1))</f>
        <v>175.05987582828078</v>
      </c>
      <c r="AO17" s="62">
        <f t="shared" si="36"/>
        <v>268.54782308462387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projet'!$B$11,Paramètres!$A$1:$I$89,3,0)*VLOOKUP('Données projet'!$B$11,Paramètres!$A$1:$I$89,5,0)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323.2243139626886</v>
      </c>
      <c r="BI17" s="62">
        <f ca="1">AVERAGE(OFFSET($BH$3,0,0,'Données projet'!$E$11+1,1))-AVERAGE(OFFSET($H$3,0,0,'Données projet'!$E$11+1,1))</f>
        <v>287.29865338866551</v>
      </c>
      <c r="BJ17" s="62">
        <f t="shared" si="38"/>
        <v>217.57508587672368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</v>
      </c>
      <c r="N18" s="14">
        <f>IF('Données projet'!$A$36&gt;35,N17+M18-V17,IF(A18&lt;'Données projet'!$A$36,$K$205^A18,IF(A18='Données projet'!$A$36,'Données projet'!$B$36,N17+M18-V17)))</f>
        <v>45.575145902959399</v>
      </c>
      <c r="O18" s="14">
        <f>N18*VLOOKUP('Données projet'!$B$9,Paramètres!$A$1:$I$89,3,0)*VLOOKUP('Données projet'!$B$9,Paramètres!$A$1:$I$89,5,0)</f>
        <v>25.476506559754306</v>
      </c>
      <c r="P18" s="14">
        <f t="shared" si="33"/>
        <v>8.0541044765944179</v>
      </c>
      <c r="Q18" s="22">
        <f t="shared" si="2"/>
        <v>58.399147554974014</v>
      </c>
      <c r="R18" s="62">
        <f t="shared" si="0"/>
        <v>351.73248088830735</v>
      </c>
      <c r="S18" s="62">
        <f ca="1">AVERAGE(OFFSET($R$3,0,0,'Données projet'!$E$9+1,1))-AVERAGE(OFFSET($H$3,0,0,'Données projet'!$E$9+1,1))</f>
        <v>302.20483575440988</v>
      </c>
      <c r="T18" s="62">
        <f t="shared" si="34"/>
        <v>275.32862097158687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6.2222222222222223</v>
      </c>
      <c r="AI18" s="14">
        <f>IF('Données projet'!$A$62&gt;35,AI17+AH18-AQ17,IF(A18&lt;'Données projet'!$A$62,$AF$205^A18,IF(A18='Données projet'!$A$62,'Données projet'!$B$62,AI17+AH18-AQ17)))</f>
        <v>51.013096442350388</v>
      </c>
      <c r="AJ18" s="14">
        <f>AI18*VLOOKUP('Données projet'!$B$10,Paramètres!$A$1:$I$89,3,0)*VLOOKUP('Données projet'!$B$10,Paramètres!$A$1:$I$89,5,0)</f>
        <v>31.832172180026642</v>
      </c>
      <c r="AK18" s="14">
        <f t="shared" si="35"/>
        <v>9.8058378099430179</v>
      </c>
      <c r="AL18" s="22">
        <f t="shared" si="4"/>
        <v>72.519534065863823</v>
      </c>
      <c r="AM18" s="62">
        <f t="shared" si="5"/>
        <v>365.85286739919712</v>
      </c>
      <c r="AN18" s="62">
        <f ca="1">AVERAGE(OFFSET($AM$3,0,0,'Données projet'!$E$10+1,1))-AVERAGE(OFFSET($H$3,0,0,'Données projet'!$E$10+1,1))</f>
        <v>175.05987582828078</v>
      </c>
      <c r="AO18" s="62">
        <f t="shared" si="36"/>
        <v>268.54782308462387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projet'!$B$11,Paramètres!$A$1:$I$89,3,0)*VLOOKUP('Données projet'!$B$11,Paramètres!$A$1:$I$89,5,0)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330.29411192516659</v>
      </c>
      <c r="BI18" s="62">
        <f ca="1">AVERAGE(OFFSET($BH$3,0,0,'Données projet'!$E$11+1,1))-AVERAGE(OFFSET($H$3,0,0,'Données projet'!$E$11+1,1))</f>
        <v>287.29865338866551</v>
      </c>
      <c r="BJ18" s="62">
        <f t="shared" si="38"/>
        <v>217.57508587672368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58.790877015554649</v>
      </c>
      <c r="O19" s="14">
        <f>N19*VLOOKUP('Données projet'!$B$9,Paramètres!$A$1:$I$89,3,0)*VLOOKUP('Données projet'!$B$9,Paramètres!$A$1:$I$89,5,0)</f>
        <v>32.864100251695049</v>
      </c>
      <c r="P19" s="14">
        <f t="shared" si="33"/>
        <v>10.086195929139501</v>
      </c>
      <c r="Q19" s="22">
        <f t="shared" si="2"/>
        <v>74.805099181620164</v>
      </c>
      <c r="R19" s="62">
        <f t="shared" si="0"/>
        <v>368.13843251495348</v>
      </c>
      <c r="S19" s="62">
        <f ca="1">AVERAGE(OFFSET($R$3,0,0,'Données projet'!$E$9+1,1))-AVERAGE(OFFSET($H$3,0,0,'Données projet'!$E$9+1,1))</f>
        <v>302.20483575440988</v>
      </c>
      <c r="T19" s="62">
        <f t="shared" si="34"/>
        <v>275.32862097158687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6.2222222222222223</v>
      </c>
      <c r="AI19" s="14">
        <f>IF('Données projet'!$A$62&gt;35,AI18+AH19-AQ18,IF(A19&lt;'Données projet'!$A$62,$AF$205^A19,IF(A19='Données projet'!$A$62,'Données projet'!$B$62,AI18+AH19-AQ18)))</f>
        <v>66.302076663695672</v>
      </c>
      <c r="AJ19" s="14">
        <f>AI19*VLOOKUP('Données projet'!$B$10,Paramètres!$A$1:$I$89,3,0)*VLOOKUP('Données projet'!$B$10,Paramètres!$A$1:$I$89,5,0)</f>
        <v>41.372495838146101</v>
      </c>
      <c r="AK19" s="14">
        <f t="shared" si="35"/>
        <v>12.361709728704412</v>
      </c>
      <c r="AL19" s="22">
        <f t="shared" si="4"/>
        <v>93.587074695597963</v>
      </c>
      <c r="AM19" s="62">
        <f t="shared" si="5"/>
        <v>386.92040802893126</v>
      </c>
      <c r="AN19" s="62">
        <f ca="1">AVERAGE(OFFSET($AM$3,0,0,'Données projet'!$E$10+1,1))-AVERAGE(OFFSET($H$3,0,0,'Données projet'!$E$10+1,1))</f>
        <v>175.05987582828078</v>
      </c>
      <c r="AO19" s="62">
        <f t="shared" si="36"/>
        <v>268.54782308462387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projet'!$B$11,Paramètres!$A$1:$I$89,3,0)*VLOOKUP('Données projet'!$B$11,Paramètres!$A$1:$I$89,5,0)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339.04161502361472</v>
      </c>
      <c r="BI19" s="62">
        <f ca="1">AVERAGE(OFFSET($BH$3,0,0,'Données projet'!$E$11+1,1))-AVERAGE(OFFSET($H$3,0,0,'Données projet'!$E$11+1,1))</f>
        <v>287.29865338866551</v>
      </c>
      <c r="BJ19" s="62">
        <f t="shared" si="38"/>
        <v>217.57508587672368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75.838862427725871</v>
      </c>
      <c r="O20" s="14">
        <f>N20*VLOOKUP('Données projet'!$B$9,Paramètres!$A$1:$I$89,3,0)*VLOOKUP('Données projet'!$B$9,Paramètres!$A$1:$I$89,5,0)</f>
        <v>42.393924097098761</v>
      </c>
      <c r="P20" s="14">
        <f t="shared" si="33"/>
        <v>12.630994372698538</v>
      </c>
      <c r="Q20" s="22">
        <f t="shared" si="2"/>
        <v>95.835066334896965</v>
      </c>
      <c r="R20" s="62">
        <f t="shared" si="0"/>
        <v>389.16839966823028</v>
      </c>
      <c r="S20" s="62">
        <f ca="1">AVERAGE(OFFSET($R$3,0,0,'Données projet'!$E$9+1,1))-AVERAGE(OFFSET($H$3,0,0,'Données projet'!$E$9+1,1))</f>
        <v>302.20483575440988</v>
      </c>
      <c r="T20" s="62">
        <f t="shared" si="34"/>
        <v>275.32862097158687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6.2222222222222223</v>
      </c>
      <c r="AI20" s="14">
        <f>IF('Données projet'!$A$62&gt;35,AI19+AH20-AQ19,IF(A20&lt;'Données projet'!$A$62,$AF$205^A20,IF(A20='Données projet'!$A$62,'Données projet'!$B$62,AI19+AH20-AQ19)))</f>
        <v>86.1732707185582</v>
      </c>
      <c r="AJ20" s="14">
        <f>AI20*VLOOKUP('Données projet'!$B$10,Paramètres!$A$1:$I$89,3,0)*VLOOKUP('Données projet'!$B$10,Paramètres!$A$1:$I$89,5,0)</f>
        <v>53.772120928380318</v>
      </c>
      <c r="AK20" s="14">
        <f t="shared" si="35"/>
        <v>15.583764526657339</v>
      </c>
      <c r="AL20" s="22">
        <f t="shared" si="4"/>
        <v>120.79483383419057</v>
      </c>
      <c r="AM20" s="62">
        <f t="shared" si="5"/>
        <v>414.12816716752388</v>
      </c>
      <c r="AN20" s="62">
        <f ca="1">AVERAGE(OFFSET($AM$3,0,0,'Données projet'!$E$10+1,1))-AVERAGE(OFFSET($H$3,0,0,'Données projet'!$E$10+1,1))</f>
        <v>175.05987582828078</v>
      </c>
      <c r="AO20" s="62">
        <f t="shared" si="36"/>
        <v>268.54782308462387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projet'!$B$11,Paramètres!$A$1:$I$89,3,0)*VLOOKUP('Données projet'!$B$11,Paramètres!$A$1:$I$89,5,0)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349.8661782737675</v>
      </c>
      <c r="BI20" s="62">
        <f ca="1">AVERAGE(OFFSET($BH$3,0,0,'Données projet'!$E$11+1,1))-AVERAGE(OFFSET($H$3,0,0,'Données projet'!$E$11+1,1))</f>
        <v>287.29865338866551</v>
      </c>
      <c r="BJ20" s="62">
        <f t="shared" si="38"/>
        <v>217.57508587672368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97.830366653823091</v>
      </c>
      <c r="O21" s="14">
        <f>N21*VLOOKUP('Données projet'!$B$9,Paramètres!$A$1:$I$89,3,0)*VLOOKUP('Données projet'!$B$9,Paramètres!$A$1:$I$89,5,0)</f>
        <v>54.687174959487109</v>
      </c>
      <c r="P21" s="14">
        <f t="shared" si="33"/>
        <v>15.817858384271306</v>
      </c>
      <c r="Q21" s="22">
        <f t="shared" si="2"/>
        <v>122.79626640704589</v>
      </c>
      <c r="R21" s="62">
        <f t="shared" si="0"/>
        <v>416.12959974037921</v>
      </c>
      <c r="S21" s="62">
        <f ca="1">AVERAGE(OFFSET($R$3,0,0,'Données projet'!$E$9+1,1))-AVERAGE(OFFSET($H$3,0,0,'Données projet'!$E$9+1,1))</f>
        <v>302.20483575440988</v>
      </c>
      <c r="T21" s="62">
        <f t="shared" si="34"/>
        <v>275.32862097158687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112</v>
      </c>
      <c r="AG21" s="13">
        <f>VLOOKUP(A21,'Données projet'!$A$61:$I$81,9,0)</f>
        <v>6.2222222222222223</v>
      </c>
      <c r="AH21" s="13">
        <f t="array" ref="AH21">INDEX(AG:AG,MIN(IF(ISNUMBER(AG21:AG217),ROW(AG21:AG217),"")))</f>
        <v>6.2222222222222223</v>
      </c>
      <c r="AI21" s="14">
        <f>IF('Données projet'!$A$62&gt;35,AI20+AH21-AQ20,IF(A21&lt;'Données projet'!$A$62,$AF$205^A21,IF(A21='Données projet'!$A$62,'Données projet'!$B$62,AI20+AH21-AQ20)))</f>
        <v>112</v>
      </c>
      <c r="AJ21" s="14">
        <f>AI21*VLOOKUP('Données projet'!$B$10,Paramètres!$A$1:$I$89,3,0)*VLOOKUP('Données projet'!$B$10,Paramètres!$A$1:$I$89,5,0)</f>
        <v>69.888000000000005</v>
      </c>
      <c r="AK21" s="14">
        <f t="shared" si="35"/>
        <v>19.645641432461961</v>
      </c>
      <c r="AL21" s="22">
        <f t="shared" si="4"/>
        <v>155.93775882820458</v>
      </c>
      <c r="AM21" s="62">
        <f t="shared" si="5"/>
        <v>449.27109216153792</v>
      </c>
      <c r="AN21" s="62">
        <f ca="1">AVERAGE(OFFSET($AM$3,0,0,'Données projet'!$E$10+1,1))-AVERAGE(OFFSET($H$3,0,0,'Données projet'!$E$10+1,1))</f>
        <v>175.05987582828078</v>
      </c>
      <c r="AO21" s="62">
        <f t="shared" si="36"/>
        <v>268.54782308462387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0.3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4.2390777219390872</v>
      </c>
      <c r="AX21" s="23">
        <f t="shared" si="6"/>
        <v>4.2390777219390872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projet'!$B$11,Paramètres!$A$1:$I$89,3,0)*VLOOKUP('Données projet'!$B$11,Paramètres!$A$1:$I$89,5,0)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363.26248699382734</v>
      </c>
      <c r="BI21" s="62">
        <f ca="1">AVERAGE(OFFSET($BH$3,0,0,'Données projet'!$E$11+1,1))-AVERAGE(OFFSET($H$3,0,0,'Données projet'!$E$11+1,1))</f>
        <v>287.29865338866551</v>
      </c>
      <c r="BJ21" s="62">
        <f t="shared" si="38"/>
        <v>217.57508587672368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126.1988950420027</v>
      </c>
      <c r="O22" s="14">
        <f>N22*VLOOKUP('Données projet'!$B$9,Paramètres!$A$1:$I$89,3,0)*VLOOKUP('Données projet'!$B$9,Paramètres!$A$1:$I$89,5,0)</f>
        <v>70.545182328479513</v>
      </c>
      <c r="P22" s="14">
        <f t="shared" si="33"/>
        <v>19.808784366626785</v>
      </c>
      <c r="Q22" s="22">
        <f t="shared" si="2"/>
        <v>157.36649199397678</v>
      </c>
      <c r="R22" s="62">
        <f t="shared" si="0"/>
        <v>450.69982532731012</v>
      </c>
      <c r="S22" s="62">
        <f ca="1">AVERAGE(OFFSET($R$3,0,0,'Données projet'!$E$9+1,1))-AVERAGE(OFFSET($H$3,0,0,'Données projet'!$E$9+1,1))</f>
        <v>302.20483575440988</v>
      </c>
      <c r="T22" s="62">
        <f t="shared" si="34"/>
        <v>275.32862097158687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18</v>
      </c>
      <c r="AI22" s="14">
        <f>IF('Données projet'!$A$62&gt;35,AI21+AH22-AQ21,IF(A22&lt;'Données projet'!$A$62,$AF$205^A22,IF(A22='Données projet'!$A$62,'Données projet'!$B$62,AI21+AH22-AQ21)))</f>
        <v>110</v>
      </c>
      <c r="AJ22" s="14">
        <f>AI22*VLOOKUP('Données projet'!$B$10,Paramètres!$A$1:$I$89,3,0)*VLOOKUP('Données projet'!$B$10,Paramètres!$A$1:$I$89,5,0)</f>
        <v>68.64</v>
      </c>
      <c r="AK22" s="14">
        <f t="shared" si="35"/>
        <v>19.335336956640202</v>
      </c>
      <c r="AL22" s="22">
        <f t="shared" si="4"/>
        <v>153.22371186614836</v>
      </c>
      <c r="AM22" s="62">
        <f t="shared" si="5"/>
        <v>446.55704519948165</v>
      </c>
      <c r="AN22" s="62">
        <f ca="1">AVERAGE(OFFSET($AM$3,0,0,'Données projet'!$E$10+1,1))-AVERAGE(OFFSET($H$3,0,0,'Données projet'!$E$10+1,1))</f>
        <v>175.05987582828078</v>
      </c>
      <c r="AO22" s="62">
        <f t="shared" si="36"/>
        <v>268.54782308462387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2.9974806031599508</v>
      </c>
      <c r="AX22" s="23">
        <f t="shared" si="6"/>
        <v>2.9974806031599508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projet'!$B$11,Paramètres!$A$1:$I$89,3,0)*VLOOKUP('Données projet'!$B$11,Paramètres!$A$1:$I$89,5,0)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379.84337213080869</v>
      </c>
      <c r="BI22" s="62">
        <f ca="1">AVERAGE(OFFSET($BH$3,0,0,'Données projet'!$E$11+1,1))-AVERAGE(OFFSET($H$3,0,0,'Données projet'!$E$11+1,1))</f>
        <v>287.29865338866551</v>
      </c>
      <c r="BJ22" s="62">
        <f t="shared" si="38"/>
        <v>217.57508587672368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162.79363611278094</v>
      </c>
      <c r="O23" s="14">
        <f>N23*VLOOKUP('Données projet'!$B$9,Paramètres!$A$1:$I$89,3,0)*VLOOKUP('Données projet'!$B$9,Paramètres!$A$1:$I$89,5,0)</f>
        <v>91.001642587044557</v>
      </c>
      <c r="P23" s="14">
        <f t="shared" si="33"/>
        <v>24.806641237456894</v>
      </c>
      <c r="Q23" s="22">
        <f t="shared" si="2"/>
        <v>201.69942766100667</v>
      </c>
      <c r="R23" s="62">
        <f t="shared" si="0"/>
        <v>495.03276099433998</v>
      </c>
      <c r="S23" s="62">
        <f ca="1">AVERAGE(OFFSET($R$3,0,0,'Données projet'!$E$9+1,1))-AVERAGE(OFFSET($H$3,0,0,'Données projet'!$E$9+1,1))</f>
        <v>302.20483575440988</v>
      </c>
      <c r="T23" s="62">
        <f t="shared" si="34"/>
        <v>275.32862097158687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18</v>
      </c>
      <c r="AI23" s="14">
        <f>IF('Données projet'!$A$62&gt;35,AI22+AH23-AQ22,IF(A23&lt;'Données projet'!$A$62,$AF$205^A23,IF(A23='Données projet'!$A$62,'Données projet'!$B$62,AI22+AH23-AQ22)))</f>
        <v>128</v>
      </c>
      <c r="AJ23" s="14">
        <f>AI23*VLOOKUP('Données projet'!$B$10,Paramètres!$A$1:$I$89,3,0)*VLOOKUP('Données projet'!$B$10,Paramètres!$A$1:$I$89,5,0)</f>
        <v>79.872</v>
      </c>
      <c r="AK23" s="14">
        <f t="shared" si="35"/>
        <v>22.105884547145418</v>
      </c>
      <c r="AL23" s="22">
        <f t="shared" si="4"/>
        <v>177.61148225294494</v>
      </c>
      <c r="AM23" s="62">
        <f t="shared" si="5"/>
        <v>470.94481558627825</v>
      </c>
      <c r="AN23" s="62">
        <f ca="1">AVERAGE(OFFSET($AM$3,0,0,'Données projet'!$E$10+1,1))-AVERAGE(OFFSET($H$3,0,0,'Données projet'!$E$10+1,1))</f>
        <v>175.05987582828078</v>
      </c>
      <c r="AO23" s="62">
        <f t="shared" si="36"/>
        <v>268.54782308462387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2.119538860969544</v>
      </c>
      <c r="AX23" s="23">
        <f t="shared" si="6"/>
        <v>2.119538860969544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projet'!$B$11,Paramètres!$A$1:$I$89,3,0)*VLOOKUP('Données projet'!$B$11,Paramètres!$A$1:$I$89,5,0)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400.36809883857921</v>
      </c>
      <c r="BI23" s="62">
        <f ca="1">AVERAGE(OFFSET($BH$3,0,0,'Données projet'!$E$11+1,1))-AVERAGE(OFFSET($H$3,0,0,'Données projet'!$E$11+1,1))</f>
        <v>287.29865338866551</v>
      </c>
      <c r="BJ23" s="62">
        <f t="shared" si="38"/>
        <v>217.57508587672368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210</v>
      </c>
      <c r="L24" s="13">
        <f>VLOOKUP(A24,'Données projet'!$A$35:$I$55,9,0)</f>
        <v>10</v>
      </c>
      <c r="M24" s="13">
        <f t="array" ref="M24">INDEX(L:L,MIN(IF(ISNUMBER(L24:L220),ROW(L24:L220),"")))</f>
        <v>10</v>
      </c>
      <c r="N24" s="14">
        <f>IF('Données projet'!$A$36&gt;35,N23+M24-V23,IF(A24&lt;'Données projet'!$A$36,$K$205^A24,IF(A24='Données projet'!$A$36,'Données projet'!$B$36,N23+M24-V23)))</f>
        <v>210</v>
      </c>
      <c r="O24" s="14">
        <f>N24*VLOOKUP('Données projet'!$B$9,Paramètres!$A$1:$I$89,3,0)*VLOOKUP('Données projet'!$B$9,Paramètres!$A$1:$I$89,5,0)</f>
        <v>117.39</v>
      </c>
      <c r="P24" s="14">
        <f t="shared" si="33"/>
        <v>31.065482772413461</v>
      </c>
      <c r="Q24" s="22">
        <f t="shared" si="2"/>
        <v>258.55996582862014</v>
      </c>
      <c r="R24" s="62">
        <f t="shared" si="0"/>
        <v>551.89329916195345</v>
      </c>
      <c r="S24" s="62">
        <f ca="1">AVERAGE(OFFSET($R$3,0,0,'Données projet'!$E$9+1,1))-AVERAGE(OFFSET($H$3,0,0,'Données projet'!$E$9+1,1))</f>
        <v>302.20483575440988</v>
      </c>
      <c r="T24" s="62">
        <f t="shared" si="34"/>
        <v>275.32862097158687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63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0.27500000000000002</v>
      </c>
      <c r="Y24" s="17">
        <f>IF(ISNA(VLOOKUP(A24,'Données projet'!$A$35:$I$55,7,0)),0%,VLOOKUP(A24,'Données projet'!$A$35:$I$55,7,0))</f>
        <v>0.5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12.796760722565436</v>
      </c>
      <c r="AB24" s="23">
        <f>EXP(-LN(2)/2)*AB23+(1-EXP(-LN(2)/2))/(LN(2)/2)*V24*Y24*VLOOKUP('Données projet'!$B$9,Paramètres!$A$1:$I$89,3,0)*0.475*44/12</f>
        <v>19.936912410994776</v>
      </c>
      <c r="AC24" s="24">
        <f t="shared" si="3"/>
        <v>32.73367313356021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>
        <f>VLOOKUP(A24,'Données projet'!$A$61:$I$81,2,0)</f>
        <v>146</v>
      </c>
      <c r="AG24" s="13">
        <f>VLOOKUP(A24,'Données projet'!$A$61:$I$81,9,0)</f>
        <v>18</v>
      </c>
      <c r="AH24" s="13">
        <f t="array" ref="AH24">INDEX(AG:AG,MIN(IF(ISNUMBER(AG24:AG220),ROW(AG24:AG220),"")))</f>
        <v>18</v>
      </c>
      <c r="AI24" s="14">
        <f>IF('Données projet'!$A$62&gt;35,AI23+AH24-AQ23,IF(A24&lt;'Données projet'!$A$62,$AF$205^A24,IF(A24='Données projet'!$A$62,'Données projet'!$B$62,AI23+AH24-AQ23)))</f>
        <v>146</v>
      </c>
      <c r="AJ24" s="14">
        <f>AI24*VLOOKUP('Données projet'!$B$10,Paramètres!$A$1:$I$89,3,0)*VLOOKUP('Données projet'!$B$10,Paramètres!$A$1:$I$89,5,0)</f>
        <v>91.103999999999999</v>
      </c>
      <c r="AK24" s="14">
        <f t="shared" si="35"/>
        <v>24.831293984707884</v>
      </c>
      <c r="AL24" s="22">
        <f t="shared" si="4"/>
        <v>201.92063702336623</v>
      </c>
      <c r="AM24" s="62">
        <f t="shared" si="5"/>
        <v>495.25397035669954</v>
      </c>
      <c r="AN24" s="62">
        <f ca="1">AVERAGE(OFFSET($AM$3,0,0,'Données projet'!$E$10+1,1))-AVERAGE(OFFSET($H$3,0,0,'Données projet'!$E$10+1,1))</f>
        <v>175.05987582828078</v>
      </c>
      <c r="AO24" s="62">
        <f t="shared" si="36"/>
        <v>268.54782308462387</v>
      </c>
      <c r="AP24" s="16">
        <f>IF(ISNA(VLOOKUP(A24,'Données projet'!$A$61:$I$81,3,0)),0,VLOOKUP(A24,'Données projet'!$A$61:$I$81,3,0))</f>
        <v>2</v>
      </c>
      <c r="AQ24" s="16">
        <f>IF(ISNA(VLOOKUP(A24,'Données projet'!$A$61:$I$81,4,0)),0,VLOOKUP(A24,'Données projet'!$A$61:$I$81,4,0))</f>
        <v>26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0.4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8.8464750196077269</v>
      </c>
      <c r="AX24" s="23">
        <f t="shared" si="6"/>
        <v>8.8464750196077269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projet'!$B$11,Paramètres!$A$1:$I$89,3,0)*VLOOKUP('Données projet'!$B$11,Paramètres!$A$1:$I$89,5,0)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425.77744411092726</v>
      </c>
      <c r="BI24" s="62">
        <f ca="1">AVERAGE(OFFSET($BH$3,0,0,'Données projet'!$E$11+1,1))-AVERAGE(OFFSET($H$3,0,0,'Données projet'!$E$11+1,1))</f>
        <v>287.29865338866551</v>
      </c>
      <c r="BJ24" s="62">
        <f t="shared" si="38"/>
        <v>217.57508587672368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19</v>
      </c>
      <c r="N25" s="14">
        <f>IF('Données projet'!$A$36&gt;35,N24+M25-V24,IF(A25&lt;'Données projet'!$A$36,$K$205^A25,IF(A25='Données projet'!$A$36,'Données projet'!$B$36,N24+M25-V24)))</f>
        <v>166</v>
      </c>
      <c r="O25" s="14">
        <f>N25*VLOOKUP('Données projet'!$B$9,Paramètres!$A$1:$I$89,3,0)*VLOOKUP('Données projet'!$B$9,Paramètres!$A$1:$I$89,5,0)</f>
        <v>92.793999999999997</v>
      </c>
      <c r="P25" s="14">
        <f t="shared" si="33"/>
        <v>25.237866858098691</v>
      </c>
      <c r="Q25" s="22">
        <f t="shared" si="2"/>
        <v>205.57216811118852</v>
      </c>
      <c r="R25" s="62">
        <f t="shared" si="0"/>
        <v>498.90550144452186</v>
      </c>
      <c r="S25" s="62">
        <f ca="1">AVERAGE(OFFSET($R$3,0,0,'Données projet'!$E$9+1,1))-AVERAGE(OFFSET($H$3,0,0,'Données projet'!$E$9+1,1))</f>
        <v>302.20483575440988</v>
      </c>
      <c r="T25" s="62">
        <f t="shared" si="34"/>
        <v>275.32862097158687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12.446832627654485</v>
      </c>
      <c r="AB25" s="23">
        <f>EXP(-LN(2)/2)*AB24+(1-EXP(-LN(2)/2))/(LN(2)/2)*V25*Y25*VLOOKUP('Données projet'!$B$9,Paramètres!$A$1:$I$89,3,0)*0.475*44/12</f>
        <v>14.097525961736647</v>
      </c>
      <c r="AC25" s="24">
        <f t="shared" si="3"/>
        <v>26.54435858939113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</v>
      </c>
      <c r="AI25" s="14">
        <f>IF('Données projet'!$A$62&gt;35,AI24+AH25-AQ24,IF(A25&lt;'Données projet'!$A$62,$AF$205^A25,IF(A25='Données projet'!$A$62,'Données projet'!$B$62,AI24+AH25-AQ24)))</f>
        <v>136</v>
      </c>
      <c r="AJ25" s="14">
        <f>AI25*VLOOKUP('Données projet'!$B$10,Paramètres!$A$1:$I$89,3,0)*VLOOKUP('Données projet'!$B$10,Paramètres!$A$1:$I$89,5,0)</f>
        <v>84.864000000000004</v>
      </c>
      <c r="AK25" s="14">
        <f t="shared" si="35"/>
        <v>23.322341364766192</v>
      </c>
      <c r="AL25" s="22">
        <f t="shared" si="4"/>
        <v>188.42454454363443</v>
      </c>
      <c r="AM25" s="62">
        <f t="shared" si="5"/>
        <v>481.75787787696777</v>
      </c>
      <c r="AN25" s="62">
        <f ca="1">AVERAGE(OFFSET($AM$3,0,0,'Données projet'!$E$10+1,1))-AVERAGE(OFFSET($H$3,0,0,'Données projet'!$E$10+1,1))</f>
        <v>175.05987582828078</v>
      </c>
      <c r="AO25" s="62">
        <f t="shared" si="36"/>
        <v>268.54782308462387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6.2554024759620201</v>
      </c>
      <c r="AX25" s="23">
        <f t="shared" si="6"/>
        <v>6.2554024759620201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projet'!$B$11,Paramètres!$A$1:$I$89,3,0)*VLOOKUP('Données projet'!$B$11,Paramètres!$A$1:$I$89,5,0)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457.23719620976442</v>
      </c>
      <c r="BI25" s="62">
        <f ca="1">AVERAGE(OFFSET($BH$3,0,0,'Données projet'!$E$11+1,1))-AVERAGE(OFFSET($H$3,0,0,'Données projet'!$E$11+1,1))</f>
        <v>287.29865338866551</v>
      </c>
      <c r="BJ25" s="62">
        <f t="shared" si="38"/>
        <v>217.57508587672368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0.22500000000000001</v>
      </c>
      <c r="BO25" s="17">
        <f>IF(ISNA(VLOOKUP(A25,'Données projet'!$A$87:$I$107,7,0)),0%,VLOOKUP(A25,'Données projet'!$A$87:$I$107,7,0))</f>
        <v>0.5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2.8445834768372578</v>
      </c>
      <c r="BR25" s="23">
        <f>EXP(-LN(2)/2)*BR24+(1-EXP(-LN(2)/2))/(LN(2)/2)*BL25*BO25*VLOOKUP('Données projet'!$B$11,Paramètres!$A$1:$I$89,3,0)*0.475*44/12</f>
        <v>5.4165993113666131</v>
      </c>
      <c r="BS25" s="24">
        <f t="shared" si="9"/>
        <v>8.2611827882038718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19</v>
      </c>
      <c r="N26" s="14">
        <f>IF('Données projet'!$A$36&gt;35,N25+M26-V25,IF(A26&lt;'Données projet'!$A$36,$K$205^A26,IF(A26='Données projet'!$A$36,'Données projet'!$B$36,N25+M26-V25)))</f>
        <v>185</v>
      </c>
      <c r="O26" s="14">
        <f>N26*VLOOKUP('Données projet'!$B$9,Paramètres!$A$1:$I$89,3,0)*VLOOKUP('Données projet'!$B$9,Paramètres!$A$1:$I$89,5,0)</f>
        <v>103.41500000000001</v>
      </c>
      <c r="P26" s="14">
        <f t="shared" si="33"/>
        <v>27.773977384564439</v>
      </c>
      <c r="Q26" s="22">
        <f t="shared" si="2"/>
        <v>228.48746894478305</v>
      </c>
      <c r="R26" s="62">
        <f t="shared" si="0"/>
        <v>521.82080227811639</v>
      </c>
      <c r="S26" s="62">
        <f ca="1">AVERAGE(OFFSET($R$3,0,0,'Données projet'!$E$9+1,1))-AVERAGE(OFFSET($H$3,0,0,'Données projet'!$E$9+1,1))</f>
        <v>302.20483575440988</v>
      </c>
      <c r="T26" s="62">
        <f t="shared" si="34"/>
        <v>275.32862097158687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12.106473334900793</v>
      </c>
      <c r="AB26" s="23">
        <f>EXP(-LN(2)/2)*AB25+(1-EXP(-LN(2)/2))/(LN(2)/2)*V26*Y26*VLOOKUP('Données projet'!$B$9,Paramètres!$A$1:$I$89,3,0)*0.475*44/12</f>
        <v>9.9684562054973895</v>
      </c>
      <c r="AC26" s="24">
        <f t="shared" si="3"/>
        <v>22.07492954039818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</v>
      </c>
      <c r="AI26" s="14">
        <f>IF('Données projet'!$A$62&gt;35,AI25+AH26-AQ25,IF(A26&lt;'Données projet'!$A$62,$AF$205^A26,IF(A26='Données projet'!$A$62,'Données projet'!$B$62,AI25+AH26-AQ25)))</f>
        <v>152</v>
      </c>
      <c r="AJ26" s="14">
        <f>AI26*VLOOKUP('Données projet'!$B$10,Paramètres!$A$1:$I$89,3,0)*VLOOKUP('Données projet'!$B$10,Paramètres!$A$1:$I$89,5,0)</f>
        <v>94.847999999999999</v>
      </c>
      <c r="AK26" s="14">
        <f t="shared" si="35"/>
        <v>25.730851751939202</v>
      </c>
      <c r="AL26" s="22">
        <f t="shared" si="4"/>
        <v>210.0081668012941</v>
      </c>
      <c r="AM26" s="62">
        <f t="shared" si="5"/>
        <v>503.34150013462738</v>
      </c>
      <c r="AN26" s="62">
        <f ca="1">AVERAGE(OFFSET($AM$3,0,0,'Données projet'!$E$10+1,1))-AVERAGE(OFFSET($H$3,0,0,'Données projet'!$E$10+1,1))</f>
        <v>175.05987582828078</v>
      </c>
      <c r="AO26" s="62">
        <f t="shared" si="36"/>
        <v>268.54782308462387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4.4232375098038643</v>
      </c>
      <c r="AX26" s="23">
        <f t="shared" si="6"/>
        <v>4.4232375098038643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projet'!$B$11,Paramètres!$A$1:$I$89,3,0)*VLOOKUP('Données projet'!$B$11,Paramètres!$A$1:$I$89,5,0)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452.47373260408426</v>
      </c>
      <c r="BI26" s="62">
        <f ca="1">AVERAGE(OFFSET($BH$3,0,0,'Données projet'!$E$11+1,1))-AVERAGE(OFFSET($H$3,0,0,'Données projet'!$E$11+1,1))</f>
        <v>287.29865338866551</v>
      </c>
      <c r="BJ26" s="62">
        <f t="shared" si="38"/>
        <v>217.57508587672368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2.7667981920729994</v>
      </c>
      <c r="BR26" s="23">
        <f>EXP(-LN(2)/2)*BR25+(1-EXP(-LN(2)/2))/(LN(2)/2)*BL26*BO26*VLOOKUP('Données projet'!$B$11,Paramètres!$A$1:$I$89,3,0)*0.475*44/12</f>
        <v>3.8301141040377158</v>
      </c>
      <c r="BS26" s="24">
        <f t="shared" si="9"/>
        <v>6.5969122961107152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19</v>
      </c>
      <c r="N27" s="14">
        <f>IF('Données projet'!$A$36&gt;35,N26+M27-V26,IF(A27&lt;'Données projet'!$A$36,$K$205^A27,IF(A27='Données projet'!$A$36,'Données projet'!$B$36,N26+M27-V26)))</f>
        <v>204</v>
      </c>
      <c r="O27" s="14">
        <f>N27*VLOOKUP('Données projet'!$B$9,Paramètres!$A$1:$I$89,3,0)*VLOOKUP('Données projet'!$B$9,Paramètres!$A$1:$I$89,5,0)</f>
        <v>114.036</v>
      </c>
      <c r="P27" s="14">
        <f t="shared" si="33"/>
        <v>30.279894261296121</v>
      </c>
      <c r="Q27" s="22">
        <f t="shared" si="2"/>
        <v>251.35018250509077</v>
      </c>
      <c r="R27" s="62">
        <f t="shared" si="0"/>
        <v>544.68351583842411</v>
      </c>
      <c r="S27" s="62">
        <f ca="1">AVERAGE(OFFSET($R$3,0,0,'Données projet'!$E$9+1,1))-AVERAGE(OFFSET($H$3,0,0,'Données projet'!$E$9+1,1))</f>
        <v>302.20483575440988</v>
      </c>
      <c r="T27" s="62">
        <f t="shared" si="34"/>
        <v>275.32862097158687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11.775421184906168</v>
      </c>
      <c r="AB27" s="23">
        <f>EXP(-LN(2)/2)*AB26+(1-EXP(-LN(2)/2))/(LN(2)/2)*V27*Y27*VLOOKUP('Données projet'!$B$9,Paramètres!$A$1:$I$89,3,0)*0.475*44/12</f>
        <v>7.0487629808683252</v>
      </c>
      <c r="AC27" s="24">
        <f t="shared" si="3"/>
        <v>18.824184165774493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>
        <f>VLOOKUP(A27,'Données projet'!$A$61:$I$81,2,0)</f>
        <v>168</v>
      </c>
      <c r="AG27" s="13">
        <f>VLOOKUP(A27,'Données projet'!$A$61:$I$81,9,0)</f>
        <v>16</v>
      </c>
      <c r="AH27" s="13">
        <f t="array" ref="AH27">INDEX(AG:AG,MIN(IF(ISNUMBER(AG27:AG223),ROW(AG27:AG223),"")))</f>
        <v>16</v>
      </c>
      <c r="AI27" s="14">
        <f>IF('Données projet'!$A$62&gt;35,AI26+AH27-AQ26,IF(A27&lt;'Données projet'!$A$62,$AF$205^A27,IF(A27='Données projet'!$A$62,'Données projet'!$B$62,AI26+AH27-AQ26)))</f>
        <v>168</v>
      </c>
      <c r="AJ27" s="14">
        <f>AI27*VLOOKUP('Données projet'!$B$10,Paramètres!$A$1:$I$89,3,0)*VLOOKUP('Données projet'!$B$10,Paramètres!$A$1:$I$89,5,0)</f>
        <v>104.83200000000001</v>
      </c>
      <c r="AK27" s="14">
        <f t="shared" si="35"/>
        <v>28.109974371137717</v>
      </c>
      <c r="AL27" s="22">
        <f t="shared" si="4"/>
        <v>231.54060536306486</v>
      </c>
      <c r="AM27" s="62">
        <f t="shared" si="5"/>
        <v>524.87393869639823</v>
      </c>
      <c r="AN27" s="62">
        <f ca="1">AVERAGE(OFFSET($AM$3,0,0,'Données projet'!$E$10+1,1))-AVERAGE(OFFSET($H$3,0,0,'Données projet'!$E$10+1,1))</f>
        <v>175.05987582828078</v>
      </c>
      <c r="AO27" s="62">
        <f t="shared" si="36"/>
        <v>268.54782308462387</v>
      </c>
      <c r="AP27" s="16">
        <f>IF(ISNA(VLOOKUP(A27,'Données projet'!$A$61:$I$81,3,0)),0,VLOOKUP(A27,'Données projet'!$A$61:$I$81,3,0))</f>
        <v>3</v>
      </c>
      <c r="AQ27" s="16">
        <f>IF(ISNA(VLOOKUP(A27,'Données projet'!$A$61:$I$81,4,0)),0,VLOOKUP(A27,'Données projet'!$A$61:$I$81,4,0))</f>
        <v>29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0.06</v>
      </c>
      <c r="AT27" s="17">
        <f>IF(ISNA(VLOOKUP(A27,'Données projet'!$A$61:$I$81,7,0)),0%,VLOOKUP(A27,'Données projet'!$A$61:$I$81,7,0))</f>
        <v>0.4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1.4346594926657472</v>
      </c>
      <c r="AW27" s="23">
        <f>EXP(-LN(2)/2)*AW26+(1-EXP(-LN(2)/2))/(LN(2)/2)*AQ27*AT27*VLOOKUP('Données projet'!$B$10,Paramètres!$A$1:$I$89,3,0)*0.475*44/12</f>
        <v>11.323251500396582</v>
      </c>
      <c r="AX27" s="23">
        <f t="shared" si="6"/>
        <v>12.757910993062328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projet'!$B$11,Paramètres!$A$1:$I$89,3,0)*VLOOKUP('Données projet'!$B$11,Paramètres!$A$1:$I$89,5,0)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468.48347327497567</v>
      </c>
      <c r="BI27" s="62">
        <f ca="1">AVERAGE(OFFSET($BH$3,0,0,'Données projet'!$E$11+1,1))-AVERAGE(OFFSET($H$3,0,0,'Données projet'!$E$11+1,1))</f>
        <v>287.29865338866551</v>
      </c>
      <c r="BJ27" s="62">
        <f t="shared" si="38"/>
        <v>217.57508587672368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2.6911399500111699</v>
      </c>
      <c r="BR27" s="23">
        <f>EXP(-LN(2)/2)*BR26+(1-EXP(-LN(2)/2))/(LN(2)/2)*BL27*BO27*VLOOKUP('Données projet'!$B$11,Paramètres!$A$1:$I$89,3,0)*0.475*44/12</f>
        <v>2.708299655683307</v>
      </c>
      <c r="BS27" s="24">
        <f t="shared" si="9"/>
        <v>5.3994396056944769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19</v>
      </c>
      <c r="N28" s="14">
        <f>IF('Données projet'!$A$36&gt;35,N27+M28-V27,IF(A28&lt;'Données projet'!$A$36,$K$205^A28,IF(A28='Données projet'!$A$36,'Données projet'!$B$36,N27+M28-V27)))</f>
        <v>223</v>
      </c>
      <c r="O28" s="14">
        <f>N28*VLOOKUP('Données projet'!$B$9,Paramètres!$A$1:$I$89,3,0)*VLOOKUP('Données projet'!$B$9,Paramètres!$A$1:$I$89,5,0)</f>
        <v>124.65700000000001</v>
      </c>
      <c r="P28" s="14">
        <f t="shared" si="33"/>
        <v>32.758749517288294</v>
      </c>
      <c r="Q28" s="22">
        <f t="shared" si="2"/>
        <v>274.16576374261041</v>
      </c>
      <c r="R28" s="62">
        <f t="shared" si="0"/>
        <v>567.49909707594372</v>
      </c>
      <c r="S28" s="62">
        <f ca="1">AVERAGE(OFFSET($R$3,0,0,'Données projet'!$E$9+1,1))-AVERAGE(OFFSET($H$3,0,0,'Données projet'!$E$9+1,1))</f>
        <v>302.20483575440988</v>
      </c>
      <c r="T28" s="62">
        <f t="shared" si="34"/>
        <v>275.32862097158687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11.453421673362422</v>
      </c>
      <c r="AB28" s="23">
        <f>EXP(-LN(2)/2)*AB27+(1-EXP(-LN(2)/2))/(LN(2)/2)*V28*Y28*VLOOKUP('Données projet'!$B$9,Paramètres!$A$1:$I$89,3,0)*0.475*44/12</f>
        <v>4.9842281027486957</v>
      </c>
      <c r="AC28" s="24">
        <f t="shared" si="3"/>
        <v>16.437649776111119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14.166666666666666</v>
      </c>
      <c r="AI28" s="14">
        <f>IF('Données projet'!$A$62&gt;35,AI27+AH28-AQ27,IF(A28&lt;'Données projet'!$A$62,$AF$205^A28,IF(A28='Données projet'!$A$62,'Données projet'!$B$62,AI27+AH28-AQ27)))</f>
        <v>153.16666666666666</v>
      </c>
      <c r="AJ28" s="14">
        <f>AI28*VLOOKUP('Données projet'!$B$10,Paramètres!$A$1:$I$89,3,0)*VLOOKUP('Données projet'!$B$10,Paramètres!$A$1:$I$89,5,0)</f>
        <v>95.575999999999993</v>
      </c>
      <c r="AK28" s="14">
        <f t="shared" si="35"/>
        <v>25.905281107545633</v>
      </c>
      <c r="AL28" s="22">
        <f t="shared" si="4"/>
        <v>211.57989792897527</v>
      </c>
      <c r="AM28" s="62">
        <f t="shared" si="5"/>
        <v>504.91323126230861</v>
      </c>
      <c r="AN28" s="62">
        <f ca="1">AVERAGE(OFFSET($AM$3,0,0,'Données projet'!$E$10+1,1))-AVERAGE(OFFSET($H$3,0,0,'Données projet'!$E$10+1,1))</f>
        <v>175.05987582828078</v>
      </c>
      <c r="AO28" s="62">
        <f t="shared" si="36"/>
        <v>268.54782308462387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1.3954286533933387</v>
      </c>
      <c r="AW28" s="23">
        <f>EXP(-LN(2)/2)*AW27+(1-EXP(-LN(2)/2))/(LN(2)/2)*AQ28*AT28*VLOOKUP('Données projet'!$B$10,Paramètres!$A$1:$I$89,3,0)*0.475*44/12</f>
        <v>8.0067479210111721</v>
      </c>
      <c r="AX28" s="23">
        <f t="shared" si="6"/>
        <v>9.4021765744045105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projet'!$B$11,Paramètres!$A$1:$I$89,3,0)*VLOOKUP('Données projet'!$B$11,Paramètres!$A$1:$I$89,5,0)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484.4588463196344</v>
      </c>
      <c r="BI28" s="62">
        <f ca="1">AVERAGE(OFFSET($BH$3,0,0,'Données projet'!$E$11+1,1))-AVERAGE(OFFSET($H$3,0,0,'Données projet'!$E$11+1,1))</f>
        <v>287.29865338866551</v>
      </c>
      <c r="BJ28" s="62">
        <f t="shared" si="38"/>
        <v>217.57508587672368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0.22500000000000001</v>
      </c>
      <c r="BO28" s="17">
        <f>IF(ISNA(VLOOKUP(A28,'Données projet'!$A$87:$I$107,7,0)),0%,VLOOKUP(A28,'Données projet'!$A$87:$I$107,7,0))</f>
        <v>0.5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5.6399205306968021</v>
      </c>
      <c r="BR28" s="23">
        <f>EXP(-LN(2)/2)*BR27+(1-EXP(-LN(2)/2))/(LN(2)/2)*BL28*BO28*VLOOKUP('Données projet'!$B$11,Paramètres!$A$1:$I$89,3,0)*0.475*44/12</f>
        <v>7.6701938203458848</v>
      </c>
      <c r="BS28" s="24">
        <f t="shared" si="9"/>
        <v>13.310114351042687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</v>
      </c>
      <c r="N29" s="14">
        <f>IF('Données projet'!$A$36&gt;35,N28+M29-V28,IF(A29&lt;'Données projet'!$A$36,$K$205^A29,IF(A29='Données projet'!$A$36,'Données projet'!$B$36,N28+M29-V28)))</f>
        <v>242</v>
      </c>
      <c r="O29" s="14">
        <f>N29*VLOOKUP('Données projet'!$B$9,Paramètres!$A$1:$I$89,3,0)*VLOOKUP('Données projet'!$B$9,Paramètres!$A$1:$I$89,5,0)</f>
        <v>135.27800000000002</v>
      </c>
      <c r="P29" s="14">
        <f t="shared" si="33"/>
        <v>35.213110998543605</v>
      </c>
      <c r="Q29" s="22">
        <f t="shared" si="2"/>
        <v>296.93868498913014</v>
      </c>
      <c r="R29" s="62">
        <f t="shared" si="0"/>
        <v>590.27201832246351</v>
      </c>
      <c r="S29" s="62">
        <f ca="1">AVERAGE(OFFSET($R$3,0,0,'Données projet'!$E$9+1,1))-AVERAGE(OFFSET($H$3,0,0,'Données projet'!$E$9+1,1))</f>
        <v>302.20483575440988</v>
      </c>
      <c r="T29" s="62">
        <f t="shared" si="34"/>
        <v>275.32862097158687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11.140227255395057</v>
      </c>
      <c r="AB29" s="23">
        <f>EXP(-LN(2)/2)*AB28+(1-EXP(-LN(2)/2))/(LN(2)/2)*V29*Y29*VLOOKUP('Données projet'!$B$9,Paramètres!$A$1:$I$89,3,0)*0.475*44/12</f>
        <v>3.524381490434163</v>
      </c>
      <c r="AC29" s="24">
        <f t="shared" si="3"/>
        <v>14.66460874582922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14.166666666666666</v>
      </c>
      <c r="AI29" s="14">
        <f>IF('Données projet'!$A$62&gt;35,AI28+AH29-AQ28,IF(A29&lt;'Données projet'!$A$62,$AF$205^A29,IF(A29='Données projet'!$A$62,'Données projet'!$B$62,AI28+AH29-AQ28)))</f>
        <v>167.33333333333331</v>
      </c>
      <c r="AJ29" s="14">
        <f>AI29*VLOOKUP('Données projet'!$B$10,Paramètres!$A$1:$I$89,3,0)*VLOOKUP('Données projet'!$B$10,Paramètres!$A$1:$I$89,5,0)</f>
        <v>104.416</v>
      </c>
      <c r="AK29" s="14">
        <f t="shared" si="35"/>
        <v>28.01138818767625</v>
      </c>
      <c r="AL29" s="22">
        <f t="shared" si="4"/>
        <v>230.64436776020281</v>
      </c>
      <c r="AM29" s="62">
        <f t="shared" si="5"/>
        <v>523.9777010935361</v>
      </c>
      <c r="AN29" s="62">
        <f ca="1">AVERAGE(OFFSET($AM$3,0,0,'Données projet'!$E$10+1,1))-AVERAGE(OFFSET($H$3,0,0,'Données projet'!$E$10+1,1))</f>
        <v>175.05987582828078</v>
      </c>
      <c r="AO29" s="62">
        <f t="shared" si="36"/>
        <v>268.54782308462387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1.3572705834838943</v>
      </c>
      <c r="AW29" s="23">
        <f>EXP(-LN(2)/2)*AW28+(1-EXP(-LN(2)/2))/(LN(2)/2)*AQ29*AT29*VLOOKUP('Données projet'!$B$10,Paramètres!$A$1:$I$89,3,0)*0.475*44/12</f>
        <v>5.6616257501982918</v>
      </c>
      <c r="AX29" s="23">
        <f t="shared" si="6"/>
        <v>7.0188963336821857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projet'!$B$11,Paramètres!$A$1:$I$89,3,0)*VLOOKUP('Données projet'!$B$11,Paramètres!$A$1:$I$89,5,0)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479.79911161741188</v>
      </c>
      <c r="BI29" s="62">
        <f ca="1">AVERAGE(OFFSET($BH$3,0,0,'Données projet'!$E$11+1,1))-AVERAGE(OFFSET($H$3,0,0,'Données projet'!$E$11+1,1))</f>
        <v>287.29865338866551</v>
      </c>
      <c r="BJ29" s="62">
        <f t="shared" si="38"/>
        <v>217.57508587672368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5.4856966071943676</v>
      </c>
      <c r="BR29" s="23">
        <f>EXP(-LN(2)/2)*BR28+(1-EXP(-LN(2)/2))/(LN(2)/2)*BL29*BO29*VLOOKUP('Données projet'!$B$11,Paramètres!$A$1:$I$89,3,0)*0.475*44/12</f>
        <v>5.4236460633817272</v>
      </c>
      <c r="BS29" s="24">
        <f t="shared" si="9"/>
        <v>10.909342670576095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</v>
      </c>
      <c r="N30" s="14">
        <f>IF('Données projet'!$A$36&gt;35,N29+M30-V29,IF(A30&lt;'Données projet'!$A$36,$K$205^A30,IF(A30='Données projet'!$A$36,'Données projet'!$B$36,N29+M30-V29)))</f>
        <v>261</v>
      </c>
      <c r="O30" s="14">
        <f>N30*VLOOKUP('Données projet'!$B$9,Paramètres!$A$1:$I$89,3,0)*VLOOKUP('Données projet'!$B$9,Paramètres!$A$1:$I$89,5,0)</f>
        <v>145.899</v>
      </c>
      <c r="P30" s="14">
        <f t="shared" si="33"/>
        <v>37.645120410716935</v>
      </c>
      <c r="Q30" s="22">
        <f t="shared" si="2"/>
        <v>319.67267638199866</v>
      </c>
      <c r="R30" s="62">
        <f t="shared" si="0"/>
        <v>613.00600971533197</v>
      </c>
      <c r="S30" s="62">
        <f ca="1">AVERAGE(OFFSET($R$3,0,0,'Données projet'!$E$9+1,1))-AVERAGE(OFFSET($H$3,0,0,'Données projet'!$E$9+1,1))</f>
        <v>302.20483575440988</v>
      </c>
      <c r="T30" s="62">
        <f t="shared" si="34"/>
        <v>275.32862097158687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10.83559715525719</v>
      </c>
      <c r="AB30" s="23">
        <f>EXP(-LN(2)/2)*AB29+(1-EXP(-LN(2)/2))/(LN(2)/2)*V30*Y30*VLOOKUP('Données projet'!$B$9,Paramètres!$A$1:$I$89,3,0)*0.475*44/12</f>
        <v>2.4921140513743483</v>
      </c>
      <c r="AC30" s="24">
        <f t="shared" si="3"/>
        <v>13.327711206631538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14.166666666666666</v>
      </c>
      <c r="AI30" s="14">
        <f>IF('Données projet'!$A$62&gt;35,AI29+AH30-AQ29,IF(A30&lt;'Données projet'!$A$62,$AF$205^A30,IF(A30='Données projet'!$A$62,'Données projet'!$B$62,AI29+AH30-AQ29)))</f>
        <v>181.49999999999997</v>
      </c>
      <c r="AJ30" s="14">
        <f>AI30*VLOOKUP('Données projet'!$B$10,Paramètres!$A$1:$I$89,3,0)*VLOOKUP('Données projet'!$B$10,Paramètres!$A$1:$I$89,5,0)</f>
        <v>113.25599999999997</v>
      </c>
      <c r="AK30" s="14">
        <f t="shared" si="35"/>
        <v>30.096816336106439</v>
      </c>
      <c r="AL30" s="22">
        <f t="shared" si="4"/>
        <v>249.67282178538531</v>
      </c>
      <c r="AM30" s="62">
        <f t="shared" si="5"/>
        <v>543.00615511871865</v>
      </c>
      <c r="AN30" s="62">
        <f ca="1">AVERAGE(OFFSET($AM$3,0,0,'Données projet'!$E$10+1,1))-AVERAGE(OFFSET($H$3,0,0,'Données projet'!$E$10+1,1))</f>
        <v>175.05987582828078</v>
      </c>
      <c r="AO30" s="62">
        <f t="shared" si="36"/>
        <v>268.54782308462387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1.3201559480027694</v>
      </c>
      <c r="AW30" s="23">
        <f>EXP(-LN(2)/2)*AW29+(1-EXP(-LN(2)/2))/(LN(2)/2)*AQ30*AT30*VLOOKUP('Données projet'!$B$10,Paramètres!$A$1:$I$89,3,0)*0.475*44/12</f>
        <v>4.0033739605055869</v>
      </c>
      <c r="AX30" s="23">
        <f t="shared" si="6"/>
        <v>5.3235299085083563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projet'!$B$11,Paramètres!$A$1:$I$89,3,0)*VLOOKUP('Données projet'!$B$11,Paramètres!$A$1:$I$89,5,0)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497.13048476928668</v>
      </c>
      <c r="BI30" s="62">
        <f ca="1">AVERAGE(OFFSET($BH$3,0,0,'Données projet'!$E$11+1,1))-AVERAGE(OFFSET($H$3,0,0,'Données projet'!$E$11+1,1))</f>
        <v>287.29865338866551</v>
      </c>
      <c r="BJ30" s="62">
        <f t="shared" si="38"/>
        <v>217.57508587672368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5.3356899449903912</v>
      </c>
      <c r="BR30" s="23">
        <f>EXP(-LN(2)/2)*BR29+(1-EXP(-LN(2)/2))/(LN(2)/2)*BL30*BO30*VLOOKUP('Données projet'!$B$11,Paramètres!$A$1:$I$89,3,0)*0.475*44/12</f>
        <v>3.8350969101729433</v>
      </c>
      <c r="BS30" s="24">
        <f t="shared" si="9"/>
        <v>9.1707868551633354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280</v>
      </c>
      <c r="L31" s="13">
        <f>VLOOKUP(A31,'Données projet'!$A$35:$I$55,9,0)</f>
        <v>19</v>
      </c>
      <c r="M31" s="13">
        <f t="array" ref="M31">INDEX(L:L,MIN(IF(ISNUMBER(L31:L227),ROW(L31:L227),"")))</f>
        <v>19</v>
      </c>
      <c r="N31" s="14">
        <f>IF('Données projet'!$A$36&gt;35,N30+M31-V30,IF(A31&lt;'Données projet'!$A$36,$K$205^A31,IF(A31='Données projet'!$A$36,'Données projet'!$B$36,N30+M31-V30)))</f>
        <v>280</v>
      </c>
      <c r="O31" s="14">
        <f>N31*VLOOKUP('Données projet'!$B$9,Paramètres!$A$1:$I$89,3,0)*VLOOKUP('Données projet'!$B$9,Paramètres!$A$1:$I$89,5,0)</f>
        <v>156.51999999999998</v>
      </c>
      <c r="P31" s="14">
        <f t="shared" si="33"/>
        <v>40.056589961286939</v>
      </c>
      <c r="Q31" s="22">
        <f t="shared" si="2"/>
        <v>342.37089418257466</v>
      </c>
      <c r="R31" s="62">
        <f t="shared" si="0"/>
        <v>635.70422751590797</v>
      </c>
      <c r="S31" s="62">
        <f ca="1">AVERAGE(OFFSET($R$3,0,0,'Données projet'!$E$9+1,1))-AVERAGE(OFFSET($H$3,0,0,'Données projet'!$E$9+1,1))</f>
        <v>302.20483575440988</v>
      </c>
      <c r="T31" s="62">
        <f t="shared" si="34"/>
        <v>275.32862097158687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64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0.27500000000000002</v>
      </c>
      <c r="Y31" s="17">
        <f>IF(ISNA(VLOOKUP(A31,'Données projet'!$A$35:$I$55,7,0)),0%,VLOOKUP(A31,'Données projet'!$A$35:$I$55,7,0))</f>
        <v>0.5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23.539181089865295</v>
      </c>
      <c r="AB31" s="23">
        <f>EXP(-LN(2)/2)*AB30+(1-EXP(-LN(2)/2))/(LN(2)/2)*V31*Y31*VLOOKUP('Données projet'!$B$9,Paramètres!$A$1:$I$89,3,0)*0.475*44/12</f>
        <v>22.015562083370504</v>
      </c>
      <c r="AC31" s="24">
        <f t="shared" si="3"/>
        <v>45.554743173235799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14.166666666666666</v>
      </c>
      <c r="AI31" s="14">
        <f>IF('Données projet'!$A$62&gt;35,AI30+AH31-AQ30,IF(A31&lt;'Données projet'!$A$62,$AF$205^A31,IF(A31='Données projet'!$A$62,'Données projet'!$B$62,AI30+AH31-AQ30)))</f>
        <v>195.66666666666663</v>
      </c>
      <c r="AJ31" s="14">
        <f>AI31*VLOOKUP('Données projet'!$B$10,Paramètres!$A$1:$I$89,3,0)*VLOOKUP('Données projet'!$B$10,Paramètres!$A$1:$I$89,5,0)</f>
        <v>122.09599999999998</v>
      </c>
      <c r="AK31" s="14">
        <f t="shared" si="35"/>
        <v>32.163363121463028</v>
      </c>
      <c r="AL31" s="22">
        <f t="shared" si="4"/>
        <v>268.6683907698814</v>
      </c>
      <c r="AM31" s="62">
        <f t="shared" si="5"/>
        <v>562.00172410321466</v>
      </c>
      <c r="AN31" s="62">
        <f ca="1">AVERAGE(OFFSET($AM$3,0,0,'Données projet'!$E$10+1,1))-AVERAGE(OFFSET($H$3,0,0,'Données projet'!$E$10+1,1))</f>
        <v>175.05987582828078</v>
      </c>
      <c r="AO31" s="62">
        <f t="shared" si="36"/>
        <v>268.54782308462387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1.2840562141806495</v>
      </c>
      <c r="AW31" s="23">
        <f>EXP(-LN(2)/2)*AW30+(1-EXP(-LN(2)/2))/(LN(2)/2)*AQ31*AT31*VLOOKUP('Données projet'!$B$10,Paramètres!$A$1:$I$89,3,0)*0.475*44/12</f>
        <v>2.8308128750991464</v>
      </c>
      <c r="AX31" s="23">
        <f t="shared" si="6"/>
        <v>4.1148690892797957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projet'!$B$11,Paramètres!$A$1:$I$89,3,0)*VLOOKUP('Données projet'!$B$11,Paramètres!$A$1:$I$89,5,0)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514.42775738247849</v>
      </c>
      <c r="BI31" s="62">
        <f ca="1">AVERAGE(OFFSET($BH$3,0,0,'Données projet'!$E$11+1,1))-AVERAGE(OFFSET($H$3,0,0,'Données projet'!$E$11+1,1))</f>
        <v>287.29865338866551</v>
      </c>
      <c r="BJ31" s="62">
        <f t="shared" si="38"/>
        <v>217.57508587672368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5.1897852228528896</v>
      </c>
      <c r="BR31" s="23">
        <f>EXP(-LN(2)/2)*BR30+(1-EXP(-LN(2)/2))/(LN(2)/2)*BL31*BO31*VLOOKUP('Données projet'!$B$11,Paramètres!$A$1:$I$89,3,0)*0.475*44/12</f>
        <v>2.711823031690864</v>
      </c>
      <c r="BS31" s="24">
        <f t="shared" si="9"/>
        <v>7.9016082545437536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19.857142857142858</v>
      </c>
      <c r="N32" s="14">
        <f>IF('Données projet'!$A$36&gt;35,N31+M32-V31,IF(A32&lt;'Données projet'!$A$36,$K$205^A32,IF(A32='Données projet'!$A$36,'Données projet'!$B$36,N31+M32-V31)))</f>
        <v>235.85714285714283</v>
      </c>
      <c r="O32" s="14">
        <f>N32*VLOOKUP('Données projet'!$B$9,Paramètres!$A$1:$I$89,3,0)*VLOOKUP('Données projet'!$B$9,Paramètres!$A$1:$I$89,5,0)</f>
        <v>131.84414285714283</v>
      </c>
      <c r="P32" s="14">
        <f t="shared" si="33"/>
        <v>34.422136630345072</v>
      </c>
      <c r="Q32" s="22">
        <f t="shared" si="2"/>
        <v>289.5804367740414</v>
      </c>
      <c r="R32" s="62">
        <f t="shared" si="0"/>
        <v>582.91377010737472</v>
      </c>
      <c r="S32" s="62">
        <f ca="1">AVERAGE(OFFSET($R$3,0,0,'Données projet'!$E$9+1,1))-AVERAGE(OFFSET($H$3,0,0,'Données projet'!$E$9+1,1))</f>
        <v>302.20483575440988</v>
      </c>
      <c r="T32" s="62">
        <f t="shared" si="34"/>
        <v>275.32862097158687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22.895500945091193</v>
      </c>
      <c r="AB32" s="23">
        <f>EXP(-LN(2)/2)*AB31+(1-EXP(-LN(2)/2))/(LN(2)/2)*V32*Y32*VLOOKUP('Données projet'!$B$9,Paramètres!$A$1:$I$89,3,0)*0.475*44/12</f>
        <v>15.567353240784721</v>
      </c>
      <c r="AC32" s="24">
        <f t="shared" si="3"/>
        <v>38.462854185875912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14.166666666666666</v>
      </c>
      <c r="AI32" s="14">
        <f>IF('Données projet'!$A$62&gt;35,AI31+AH32-AQ31,IF(A32&lt;'Données projet'!$A$62,$AF$205^A32,IF(A32='Données projet'!$A$62,'Données projet'!$B$62,AI31+AH32-AQ31)))</f>
        <v>209.83333333333329</v>
      </c>
      <c r="AJ32" s="14">
        <f>AI32*VLOOKUP('Données projet'!$B$10,Paramètres!$A$1:$I$89,3,0)*VLOOKUP('Données projet'!$B$10,Paramètres!$A$1:$I$89,5,0)</f>
        <v>130.93599999999998</v>
      </c>
      <c r="AK32" s="14">
        <f t="shared" si="35"/>
        <v>34.21255106176632</v>
      </c>
      <c r="AL32" s="22">
        <f t="shared" si="4"/>
        <v>287.63372643257628</v>
      </c>
      <c r="AM32" s="62">
        <f t="shared" si="5"/>
        <v>580.96705976590965</v>
      </c>
      <c r="AN32" s="62">
        <f ca="1">AVERAGE(OFFSET($AM$3,0,0,'Données projet'!$E$10+1,1))-AVERAGE(OFFSET($H$3,0,0,'Données projet'!$E$10+1,1))</f>
        <v>175.05987582828078</v>
      </c>
      <c r="AO32" s="62">
        <f t="shared" si="36"/>
        <v>268.54782308462387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1.2489436294782981</v>
      </c>
      <c r="AW32" s="23">
        <f>EXP(-LN(2)/2)*AW31+(1-EXP(-LN(2)/2))/(LN(2)/2)*AQ32*AT32*VLOOKUP('Données projet'!$B$10,Paramètres!$A$1:$I$89,3,0)*0.475*44/12</f>
        <v>2.0016869802527939</v>
      </c>
      <c r="AX32" s="23">
        <f t="shared" si="6"/>
        <v>3.250630609731092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projet'!$B$11,Paramètres!$A$1:$I$89,3,0)*VLOOKUP('Données projet'!$B$11,Paramètres!$A$1:$I$89,5,0)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531.69397310455531</v>
      </c>
      <c r="BI32" s="62">
        <f ca="1">AVERAGE(OFFSET($BH$3,0,0,'Données projet'!$E$11+1,1))-AVERAGE(OFFSET($H$3,0,0,'Données projet'!$E$11+1,1))</f>
        <v>287.29865338866551</v>
      </c>
      <c r="BJ32" s="62">
        <f t="shared" si="38"/>
        <v>217.57508587672368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5.0478702730150342</v>
      </c>
      <c r="BR32" s="23">
        <f>EXP(-LN(2)/2)*BR31+(1-EXP(-LN(2)/2))/(LN(2)/2)*BL32*BO32*VLOOKUP('Données projet'!$B$11,Paramètres!$A$1:$I$89,3,0)*0.475*44/12</f>
        <v>1.9175484550864719</v>
      </c>
      <c r="BS32" s="24">
        <f t="shared" si="9"/>
        <v>6.9654187281015059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19.857142857142858</v>
      </c>
      <c r="N33" s="14">
        <f>IF('Données projet'!$A$36&gt;35,N32+M33-V32,IF(A33&lt;'Données projet'!$A$36,$K$205^A33,IF(A33='Données projet'!$A$36,'Données projet'!$B$36,N32+M33-V32)))</f>
        <v>255.71428571428569</v>
      </c>
      <c r="O33" s="14">
        <f>N33*VLOOKUP('Données projet'!$B$9,Paramètres!$A$1:$I$89,3,0)*VLOOKUP('Données projet'!$B$9,Paramètres!$A$1:$I$89,5,0)</f>
        <v>142.94428571428571</v>
      </c>
      <c r="P33" s="14">
        <f t="shared" si="33"/>
        <v>36.970680828333286</v>
      </c>
      <c r="Q33" s="22">
        <f t="shared" si="2"/>
        <v>313.35190006172803</v>
      </c>
      <c r="R33" s="62">
        <f t="shared" si="0"/>
        <v>606.68523339506135</v>
      </c>
      <c r="S33" s="62">
        <f ca="1">AVERAGE(OFFSET($R$3,0,0,'Données projet'!$E$9+1,1))-AVERAGE(OFFSET($H$3,0,0,'Données projet'!$E$9+1,1))</f>
        <v>302.20483575440988</v>
      </c>
      <c r="T33" s="62">
        <f t="shared" si="34"/>
        <v>275.32862097158687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22.269422267725609</v>
      </c>
      <c r="AB33" s="23">
        <f>EXP(-LN(2)/2)*AB32+(1-EXP(-LN(2)/2))/(LN(2)/2)*V33*Y33*VLOOKUP('Données projet'!$B$9,Paramètres!$A$1:$I$89,3,0)*0.475*44/12</f>
        <v>11.007781041685254</v>
      </c>
      <c r="AC33" s="24">
        <f t="shared" si="3"/>
        <v>33.277203309410865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224</v>
      </c>
      <c r="AG33" s="13">
        <f>VLOOKUP(A33,'Données projet'!$A$61:$I$81,9,0)</f>
        <v>14.166666666666666</v>
      </c>
      <c r="AH33" s="13">
        <f t="array" ref="AH33">INDEX(AG:AG,MIN(IF(ISNUMBER(AG33:AG229),ROW(AG33:AG229),"")))</f>
        <v>14.166666666666666</v>
      </c>
      <c r="AI33" s="14">
        <f>IF('Données projet'!$A$62&gt;35,AI32+AH33-AQ32,IF(A33&lt;'Données projet'!$A$62,$AF$205^A33,IF(A33='Données projet'!$A$62,'Données projet'!$B$62,AI32+AH33-AQ32)))</f>
        <v>223.99999999999994</v>
      </c>
      <c r="AJ33" s="14">
        <f>AI33*VLOOKUP('Données projet'!$B$10,Paramètres!$A$1:$I$89,3,0)*VLOOKUP('Données projet'!$B$10,Paramètres!$A$1:$I$89,5,0)</f>
        <v>139.77599999999995</v>
      </c>
      <c r="AK33" s="14">
        <f t="shared" si="35"/>
        <v>36.245685459195258</v>
      </c>
      <c r="AL33" s="22">
        <f t="shared" si="4"/>
        <v>306.57110217476503</v>
      </c>
      <c r="AM33" s="62">
        <f t="shared" si="5"/>
        <v>599.90443550809835</v>
      </c>
      <c r="AN33" s="62">
        <f ca="1">AVERAGE(OFFSET($AM$3,0,0,'Données projet'!$E$10+1,1))-AVERAGE(OFFSET($H$3,0,0,'Données projet'!$E$10+1,1))</f>
        <v>175.05987582828078</v>
      </c>
      <c r="AO33" s="62">
        <f t="shared" si="36"/>
        <v>268.54782308462387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53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0.18</v>
      </c>
      <c r="AT33" s="17">
        <f>IF(ISNA(VLOOKUP(A33,'Données projet'!$A$61:$I$81,7,0)),0%,VLOOKUP(A33,'Données projet'!$A$61:$I$81,7,0))</f>
        <v>0.3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9.0806829014184967</v>
      </c>
      <c r="AW33" s="23">
        <f>EXP(-LN(2)/2)*AW32+(1-EXP(-LN(2)/2))/(LN(2)/2)*AQ33*AT33*VLOOKUP('Données projet'!$B$10,Paramètres!$A$1:$I$89,3,0)*0.475*44/12</f>
        <v>12.648962400688156</v>
      </c>
      <c r="AX33" s="23">
        <f t="shared" si="6"/>
        <v>21.729645302106654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projet'!$B$11,Paramètres!$A$1:$I$89,3,0)*VLOOKUP('Données projet'!$B$11,Paramètres!$A$1:$I$89,5,0)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548.93169830019815</v>
      </c>
      <c r="BI33" s="62">
        <f ca="1">AVERAGE(OFFSET($BH$3,0,0,'Données projet'!$E$11+1,1))-AVERAGE(OFFSET($H$3,0,0,'Données projet'!$E$11+1,1))</f>
        <v>287.29865338866551</v>
      </c>
      <c r="BJ33" s="62">
        <f t="shared" si="38"/>
        <v>217.57508587672368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0.22500000000000001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10.954575883222651</v>
      </c>
      <c r="BR33" s="23">
        <f>EXP(-LN(2)/2)*BR32+(1-EXP(-LN(2)/2))/(LN(2)/2)*BL33*BO33*VLOOKUP('Données projet'!$B$11,Paramètres!$A$1:$I$89,3,0)*0.475*44/12</f>
        <v>12.866185052499485</v>
      </c>
      <c r="BS33" s="24">
        <f t="shared" si="9"/>
        <v>23.820760935722134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19.857142857142858</v>
      </c>
      <c r="N34" s="14">
        <f>IF('Données projet'!$A$36&gt;35,N33+M34-V33,IF(A34&lt;'Données projet'!$A$36,$K$205^A34,IF(A34='Données projet'!$A$36,'Données projet'!$B$36,N33+M34-V33)))</f>
        <v>275.57142857142856</v>
      </c>
      <c r="O34" s="14">
        <f>N34*VLOOKUP('Données projet'!$B$9,Paramètres!$A$1:$I$89,3,0)*VLOOKUP('Données projet'!$B$9,Paramètres!$A$1:$I$89,5,0)</f>
        <v>154.04442857142857</v>
      </c>
      <c r="P34" s="14">
        <f t="shared" si="33"/>
        <v>39.496268491280283</v>
      </c>
      <c r="Q34" s="22">
        <f t="shared" si="2"/>
        <v>337.08338071755128</v>
      </c>
      <c r="R34" s="62">
        <f t="shared" si="0"/>
        <v>630.41671405088459</v>
      </c>
      <c r="S34" s="62">
        <f ca="1">AVERAGE(OFFSET($R$3,0,0,'Données projet'!$E$9+1,1))-AVERAGE(OFFSET($H$3,0,0,'Données projet'!$E$9+1,1))</f>
        <v>302.20483575440988</v>
      </c>
      <c r="T34" s="62">
        <f t="shared" si="34"/>
        <v>275.32862097158687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21.660463744716633</v>
      </c>
      <c r="AB34" s="23">
        <f>EXP(-LN(2)/2)*AB33+(1-EXP(-LN(2)/2))/(LN(2)/2)*V34*Y34*VLOOKUP('Données projet'!$B$9,Paramètres!$A$1:$I$89,3,0)*0.475*44/12</f>
        <v>7.7836766203923613</v>
      </c>
      <c r="AC34" s="24">
        <f t="shared" si="3"/>
        <v>29.444140365108993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12.833333333333334</v>
      </c>
      <c r="AI34" s="14">
        <f>IF('Données projet'!$A$62&gt;35,AI33+AH34-AQ33,IF(A34&lt;'Données projet'!$A$62,$AF$205^A34,IF(A34='Données projet'!$A$62,'Données projet'!$B$62,AI33+AH34-AQ33)))</f>
        <v>183.83333333333329</v>
      </c>
      <c r="AJ34" s="14">
        <f>AI34*VLOOKUP('Données projet'!$B$10,Paramètres!$A$1:$I$89,3,0)*VLOOKUP('Données projet'!$B$10,Paramètres!$A$1:$I$89,5,0)</f>
        <v>114.71199999999997</v>
      </c>
      <c r="AK34" s="14">
        <f t="shared" si="35"/>
        <v>30.438443898016164</v>
      </c>
      <c r="AL34" s="22">
        <f t="shared" si="4"/>
        <v>252.80368978904474</v>
      </c>
      <c r="AM34" s="62">
        <f t="shared" si="5"/>
        <v>546.13702312237808</v>
      </c>
      <c r="AN34" s="62">
        <f ca="1">AVERAGE(OFFSET($AM$3,0,0,'Données projet'!$E$10+1,1))-AVERAGE(OFFSET($H$3,0,0,'Données projet'!$E$10+1,1))</f>
        <v>175.05987582828078</v>
      </c>
      <c r="AO34" s="62">
        <f t="shared" si="36"/>
        <v>268.54782308462387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8.832371149946848</v>
      </c>
      <c r="AW34" s="23">
        <f>EXP(-LN(2)/2)*AW33+(1-EXP(-LN(2)/2))/(LN(2)/2)*AQ34*AT34*VLOOKUP('Données projet'!$B$10,Paramètres!$A$1:$I$89,3,0)*0.475*44/12</f>
        <v>8.9441670885002669</v>
      </c>
      <c r="AX34" s="23">
        <f t="shared" si="6"/>
        <v>17.776538238447117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projet'!$B$11,Paramètres!$A$1:$I$89,3,0)*VLOOKUP('Données projet'!$B$11,Paramètres!$A$1:$I$89,5,0)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523.96649762023048</v>
      </c>
      <c r="BI34" s="62">
        <f ca="1">AVERAGE(OFFSET($BH$3,0,0,'Données projet'!$E$11+1,1))-AVERAGE(OFFSET($H$3,0,0,'Données projet'!$E$11+1,1))</f>
        <v>287.29865338866551</v>
      </c>
      <c r="BJ34" s="62">
        <f t="shared" si="38"/>
        <v>217.57508587672368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10.655022429619819</v>
      </c>
      <c r="BR34" s="23">
        <f>EXP(-LN(2)/2)*BR33+(1-EXP(-LN(2)/2))/(LN(2)/2)*BL34*BO34*VLOOKUP('Données projet'!$B$11,Paramètres!$A$1:$I$89,3,0)*0.475*44/12</f>
        <v>9.0977666986233832</v>
      </c>
      <c r="BS34" s="24">
        <f t="shared" si="9"/>
        <v>19.752789128243201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19.857142857142858</v>
      </c>
      <c r="N35" s="14">
        <f>IF('Données projet'!$A$36&gt;35,N34+M35-V34,IF(A35&lt;'Données projet'!$A$36,$K$205^A35,IF(A35='Données projet'!$A$36,'Données projet'!$B$36,N34+M35-V34)))</f>
        <v>295.42857142857139</v>
      </c>
      <c r="O35" s="14">
        <f>N35*VLOOKUP('Données projet'!$B$9,Paramètres!$A$1:$I$89,3,0)*VLOOKUP('Données projet'!$B$9,Paramètres!$A$1:$I$89,5,0)</f>
        <v>165.14457142857142</v>
      </c>
      <c r="P35" s="14">
        <f t="shared" si="33"/>
        <v>42.000741952671746</v>
      </c>
      <c r="Q35" s="22">
        <f t="shared" ref="Q35:Q66" si="53">(O35+P35)*0.475*44/12</f>
        <v>360.77808747233183</v>
      </c>
      <c r="R35" s="62">
        <f t="shared" si="0"/>
        <v>654.11142080566515</v>
      </c>
      <c r="S35" s="62">
        <f ca="1">AVERAGE(OFFSET($R$3,0,0,'Données projet'!$E$9+1,1))-AVERAGE(OFFSET($H$3,0,0,'Données projet'!$E$9+1,1))</f>
        <v>302.20483575440988</v>
      </c>
      <c r="T35" s="62">
        <f t="shared" si="34"/>
        <v>275.32862097158687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21.068157224543075</v>
      </c>
      <c r="AB35" s="23">
        <f>EXP(-LN(2)/2)*AB34+(1-EXP(-LN(2)/2))/(LN(2)/2)*V35*Y35*VLOOKUP('Données projet'!$B$9,Paramètres!$A$1:$I$89,3,0)*0.475*44/12</f>
        <v>5.5038905208426279</v>
      </c>
      <c r="AC35" s="24">
        <f t="shared" si="3"/>
        <v>26.572047745385703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12.833333333333334</v>
      </c>
      <c r="AI35" s="14">
        <f>IF('Données projet'!$A$62&gt;35,AI34+AH35-AQ34,IF(A35&lt;'Données projet'!$A$62,$AF$205^A35,IF(A35='Données projet'!$A$62,'Données projet'!$B$62,AI34+AH35-AQ34)))</f>
        <v>196.66666666666663</v>
      </c>
      <c r="AJ35" s="14">
        <f>AI35*VLOOKUP('Données projet'!$B$10,Paramètres!$A$1:$I$89,3,0)*VLOOKUP('Données projet'!$B$10,Paramètres!$A$1:$I$89,5,0)</f>
        <v>122.71999999999997</v>
      </c>
      <c r="AK35" s="14">
        <f t="shared" si="35"/>
        <v>32.308564708068729</v>
      </c>
      <c r="AL35" s="22">
        <f t="shared" si="4"/>
        <v>270.00808353321963</v>
      </c>
      <c r="AM35" s="62">
        <f t="shared" si="5"/>
        <v>563.34141686655289</v>
      </c>
      <c r="AN35" s="62">
        <f ca="1">AVERAGE(OFFSET($AM$3,0,0,'Données projet'!$E$10+1,1))-AVERAGE(OFFSET($H$3,0,0,'Données projet'!$E$10+1,1))</f>
        <v>175.05987582828078</v>
      </c>
      <c r="AO35" s="62">
        <f t="shared" si="36"/>
        <v>268.54782308462387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8.5908494963773396</v>
      </c>
      <c r="AW35" s="23">
        <f>EXP(-LN(2)/2)*AW34+(1-EXP(-LN(2)/2))/(LN(2)/2)*AQ35*AT35*VLOOKUP('Données projet'!$B$10,Paramètres!$A$1:$I$89,3,0)*0.475*44/12</f>
        <v>6.3244812003440787</v>
      </c>
      <c r="AX35" s="23">
        <f t="shared" si="6"/>
        <v>14.915330696721419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projet'!$B$11,Paramètres!$A$1:$I$89,3,0)*VLOOKUP('Données projet'!$B$11,Paramètres!$A$1:$I$89,5,0)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542.76012075698407</v>
      </c>
      <c r="BI35" s="62">
        <f ca="1">AVERAGE(OFFSET($BH$3,0,0,'Données projet'!$E$11+1,1))-AVERAGE(OFFSET($H$3,0,0,'Données projet'!$E$11+1,1))</f>
        <v>287.29865338866551</v>
      </c>
      <c r="BJ35" s="62">
        <f t="shared" si="38"/>
        <v>217.57508587672368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10.363660280958589</v>
      </c>
      <c r="BR35" s="23">
        <f>EXP(-LN(2)/2)*BR34+(1-EXP(-LN(2)/2))/(LN(2)/2)*BL35*BO35*VLOOKUP('Données projet'!$B$11,Paramètres!$A$1:$I$89,3,0)*0.475*44/12</f>
        <v>6.4330925262497436</v>
      </c>
      <c r="BS35" s="24">
        <f t="shared" si="9"/>
        <v>16.796752807208332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19.857142857142858</v>
      </c>
      <c r="N36" s="14">
        <f>IF('Données projet'!$A$36&gt;35,N35+M36-V35,IF(A36&lt;'Données projet'!$A$36,$K$205^A36,IF(A36='Données projet'!$A$36,'Données projet'!$B$36,N35+M36-V35)))</f>
        <v>315.28571428571422</v>
      </c>
      <c r="O36" s="14">
        <f>N36*VLOOKUP('Données projet'!$B$9,Paramètres!$A$1:$I$89,3,0)*VLOOKUP('Données projet'!$B$9,Paramètres!$A$1:$I$89,5,0)</f>
        <v>176.24471428571425</v>
      </c>
      <c r="P36" s="14">
        <f t="shared" si="33"/>
        <v>44.485681868533291</v>
      </c>
      <c r="Q36" s="22">
        <f t="shared" si="53"/>
        <v>384.43877330198114</v>
      </c>
      <c r="R36" s="62">
        <f t="shared" si="0"/>
        <v>677.77210663531446</v>
      </c>
      <c r="S36" s="62">
        <f ca="1">AVERAGE(OFFSET($R$3,0,0,'Données projet'!$E$9+1,1))-AVERAGE(OFFSET($H$3,0,0,'Données projet'!$E$9+1,1))</f>
        <v>302.20483575440988</v>
      </c>
      <c r="T36" s="62">
        <f t="shared" si="34"/>
        <v>275.32862097158687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20.492047357311709</v>
      </c>
      <c r="AB36" s="23">
        <f>EXP(-LN(2)/2)*AB35+(1-EXP(-LN(2)/2))/(LN(2)/2)*V36*Y36*VLOOKUP('Données projet'!$B$9,Paramètres!$A$1:$I$89,3,0)*0.475*44/12</f>
        <v>3.8918383101961815</v>
      </c>
      <c r="AC36" s="24">
        <f t="shared" si="3"/>
        <v>24.38388566750789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12.833333333333334</v>
      </c>
      <c r="AI36" s="14">
        <f>IF('Données projet'!$A$62&gt;35,AI35+AH36-AQ35,IF(A36&lt;'Données projet'!$A$62,$AF$205^A36,IF(A36='Données projet'!$A$62,'Données projet'!$B$62,AI35+AH36-AQ35)))</f>
        <v>209.49999999999997</v>
      </c>
      <c r="AJ36" s="14">
        <f>AI36*VLOOKUP('Données projet'!$B$10,Paramètres!$A$1:$I$89,3,0)*VLOOKUP('Données projet'!$B$10,Paramètres!$A$1:$I$89,5,0)</f>
        <v>130.72799999999998</v>
      </c>
      <c r="AK36" s="14">
        <f t="shared" si="35"/>
        <v>34.164524045585857</v>
      </c>
      <c r="AL36" s="22">
        <f t="shared" si="4"/>
        <v>287.18781271272866</v>
      </c>
      <c r="AM36" s="62">
        <f t="shared" si="5"/>
        <v>580.52114604606197</v>
      </c>
      <c r="AN36" s="62">
        <f ca="1">AVERAGE(OFFSET($AM$3,0,0,'Données projet'!$E$10+1,1))-AVERAGE(OFFSET($H$3,0,0,'Données projet'!$E$10+1,1))</f>
        <v>175.05987582828078</v>
      </c>
      <c r="AO36" s="62">
        <f t="shared" si="36"/>
        <v>268.54782308462387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8.3559322651257606</v>
      </c>
      <c r="AW36" s="23">
        <f>EXP(-LN(2)/2)*AW35+(1-EXP(-LN(2)/2))/(LN(2)/2)*AQ36*AT36*VLOOKUP('Données projet'!$B$10,Paramètres!$A$1:$I$89,3,0)*0.475*44/12</f>
        <v>4.4720835442501343</v>
      </c>
      <c r="AX36" s="23">
        <f t="shared" si="6"/>
        <v>12.828015809375895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projet'!$B$11,Paramètres!$A$1:$I$89,3,0)*VLOOKUP('Données projet'!$B$11,Paramètres!$A$1:$I$89,5,0)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561.52163095029562</v>
      </c>
      <c r="BI36" s="62">
        <f ca="1">AVERAGE(OFFSET($BH$3,0,0,'Données projet'!$E$11+1,1))-AVERAGE(OFFSET($H$3,0,0,'Données projet'!$E$11+1,1))</f>
        <v>287.29865338866551</v>
      </c>
      <c r="BJ36" s="62">
        <f t="shared" si="38"/>
        <v>217.57508587672368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10.080265445574568</v>
      </c>
      <c r="BR36" s="23">
        <f>EXP(-LN(2)/2)*BR35+(1-EXP(-LN(2)/2))/(LN(2)/2)*BL36*BO36*VLOOKUP('Données projet'!$B$11,Paramètres!$A$1:$I$89,3,0)*0.475*44/12</f>
        <v>4.5488833493116916</v>
      </c>
      <c r="BS36" s="24">
        <f t="shared" si="9"/>
        <v>14.629148794886259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19.857142857142858</v>
      </c>
      <c r="N37" s="14">
        <f>IF('Données projet'!$A$36&gt;35,N36+M37-V36,IF(A37&lt;'Données projet'!$A$36,$K$205^A37,IF(A37='Données projet'!$A$36,'Données projet'!$B$36,N36+M37-V36)))</f>
        <v>335.14285714285705</v>
      </c>
      <c r="O37" s="14">
        <f>N37*VLOOKUP('Données projet'!$B$9,Paramètres!$A$1:$I$89,3,0)*VLOOKUP('Données projet'!$B$9,Paramètres!$A$1:$I$89,5,0)</f>
        <v>187.34485714285708</v>
      </c>
      <c r="P37" s="14">
        <f t="shared" si="33"/>
        <v>46.95245853654621</v>
      </c>
      <c r="Q37" s="22">
        <f t="shared" si="53"/>
        <v>408.06782480829406</v>
      </c>
      <c r="R37" s="62">
        <f t="shared" si="0"/>
        <v>701.40115814162732</v>
      </c>
      <c r="S37" s="62">
        <f ca="1">AVERAGE(OFFSET($R$3,0,0,'Données projet'!$E$9+1,1))-AVERAGE(OFFSET($H$3,0,0,'Données projet'!$E$9+1,1))</f>
        <v>302.20483575440988</v>
      </c>
      <c r="T37" s="62">
        <f t="shared" si="34"/>
        <v>275.32862097158687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19.931691244696086</v>
      </c>
      <c r="AB37" s="23">
        <f>EXP(-LN(2)/2)*AB36+(1-EXP(-LN(2)/2))/(LN(2)/2)*V37*Y37*VLOOKUP('Données projet'!$B$9,Paramètres!$A$1:$I$89,3,0)*0.475*44/12</f>
        <v>2.7519452604213144</v>
      </c>
      <c r="AC37" s="24">
        <f t="shared" si="3"/>
        <v>22.683636505117402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12.833333333333334</v>
      </c>
      <c r="AI37" s="14">
        <f>IF('Données projet'!$A$62&gt;35,AI36+AH37-AQ36,IF(A37&lt;'Données projet'!$A$62,$AF$205^A37,IF(A37='Données projet'!$A$62,'Données projet'!$B$62,AI36+AH37-AQ36)))</f>
        <v>222.33333333333331</v>
      </c>
      <c r="AJ37" s="14">
        <f>AI37*VLOOKUP('Données projet'!$B$10,Paramètres!$A$1:$I$89,3,0)*VLOOKUP('Données projet'!$B$10,Paramètres!$A$1:$I$89,5,0)</f>
        <v>138.73599999999999</v>
      </c>
      <c r="AK37" s="14">
        <f t="shared" si="35"/>
        <v>36.007288175538044</v>
      </c>
      <c r="AL37" s="22">
        <f t="shared" si="4"/>
        <v>304.34456023906205</v>
      </c>
      <c r="AM37" s="62">
        <f t="shared" si="5"/>
        <v>597.67789357239531</v>
      </c>
      <c r="AN37" s="62">
        <f ca="1">AVERAGE(OFFSET($AM$3,0,0,'Données projet'!$E$10+1,1))-AVERAGE(OFFSET($H$3,0,0,'Données projet'!$E$10+1,1))</f>
        <v>175.05987582828078</v>
      </c>
      <c r="AO37" s="62">
        <f t="shared" si="36"/>
        <v>268.54782308462387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8.1274388579165162</v>
      </c>
      <c r="AW37" s="23">
        <f>EXP(-LN(2)/2)*AW36+(1-EXP(-LN(2)/2))/(LN(2)/2)*AQ37*AT37*VLOOKUP('Données projet'!$B$10,Paramètres!$A$1:$I$89,3,0)*0.475*44/12</f>
        <v>3.1622406001720398</v>
      </c>
      <c r="AX37" s="23">
        <f t="shared" si="6"/>
        <v>11.289679458088557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projet'!$B$11,Paramètres!$A$1:$I$89,3,0)*VLOOKUP('Données projet'!$B$11,Paramètres!$A$1:$I$89,5,0)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580.25359037922033</v>
      </c>
      <c r="BI37" s="62">
        <f ca="1">AVERAGE(OFFSET($BH$3,0,0,'Données projet'!$E$11+1,1))-AVERAGE(OFFSET($H$3,0,0,'Données projet'!$E$11+1,1))</f>
        <v>287.29865338866551</v>
      </c>
      <c r="BJ37" s="62">
        <f t="shared" si="38"/>
        <v>217.57508587672368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9.8046200568672113</v>
      </c>
      <c r="BR37" s="23">
        <f>EXP(-LN(2)/2)*BR36+(1-EXP(-LN(2)/2))/(LN(2)/2)*BL37*BO37*VLOOKUP('Données projet'!$B$11,Paramètres!$A$1:$I$89,3,0)*0.475*44/12</f>
        <v>3.2165462631248718</v>
      </c>
      <c r="BS37" s="24">
        <f t="shared" si="9"/>
        <v>13.021166319992084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355</v>
      </c>
      <c r="L38" s="13">
        <f>VLOOKUP(A38,'Données projet'!$A$35:$I$55,9,0)</f>
        <v>19.857142857142858</v>
      </c>
      <c r="M38" s="13">
        <f t="array" ref="M38">INDEX(L:L,MIN(IF(ISNUMBER(L38:L234),ROW(L38:L234),"")))</f>
        <v>19.857142857142858</v>
      </c>
      <c r="N38" s="14">
        <f>IF('Données projet'!$A$36&gt;35,N37+M38-V37,IF(A38&lt;'Données projet'!$A$36,$K$205^A38,IF(A38='Données projet'!$A$36,'Données projet'!$B$36,N37+M38-V37)))</f>
        <v>354.99999999999989</v>
      </c>
      <c r="O38" s="14">
        <f>N38*VLOOKUP('Données projet'!$B$9,Paramètres!$A$1:$I$89,3,0)*VLOOKUP('Données projet'!$B$9,Paramètres!$A$1:$I$89,5,0)</f>
        <v>198.44499999999994</v>
      </c>
      <c r="P38" s="14">
        <f t="shared" si="33"/>
        <v>49.40227070134226</v>
      </c>
      <c r="Q38" s="22">
        <f t="shared" si="53"/>
        <v>431.66732980483766</v>
      </c>
      <c r="R38" s="62">
        <f t="shared" si="0"/>
        <v>725.00066313817092</v>
      </c>
      <c r="S38" s="62">
        <f ca="1">AVERAGE(OFFSET($R$3,0,0,'Données projet'!$E$9+1,1))-AVERAGE(OFFSET($H$3,0,0,'Données projet'!$E$9+1,1))</f>
        <v>302.20483575440988</v>
      </c>
      <c r="T38" s="62">
        <f t="shared" si="34"/>
        <v>275.32862097158687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19.386658099447782</v>
      </c>
      <c r="AB38" s="23">
        <f>EXP(-LN(2)/2)*AB37+(1-EXP(-LN(2)/2))/(LN(2)/2)*V38*Y38*VLOOKUP('Données projet'!$B$9,Paramètres!$A$1:$I$89,3,0)*0.475*44/12</f>
        <v>1.945919155098091</v>
      </c>
      <c r="AC38" s="24">
        <f t="shared" si="3"/>
        <v>21.332577254545875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12.833333333333334</v>
      </c>
      <c r="AI38" s="14">
        <f>IF('Données projet'!$A$62&gt;35,AI37+AH38-AQ37,IF(A38&lt;'Données projet'!$A$62,$AF$205^A38,IF(A38='Données projet'!$A$62,'Données projet'!$B$62,AI37+AH38-AQ37)))</f>
        <v>235.16666666666666</v>
      </c>
      <c r="AJ38" s="14">
        <f>AI38*VLOOKUP('Données projet'!$B$10,Paramètres!$A$1:$I$89,3,0)*VLOOKUP('Données projet'!$B$10,Paramètres!$A$1:$I$89,5,0)</f>
        <v>146.744</v>
      </c>
      <c r="AK38" s="14">
        <f t="shared" si="35"/>
        <v>37.837705514258651</v>
      </c>
      <c r="AL38" s="22">
        <f t="shared" si="4"/>
        <v>321.47980377066716</v>
      </c>
      <c r="AM38" s="62">
        <f t="shared" si="5"/>
        <v>614.81313710400048</v>
      </c>
      <c r="AN38" s="62">
        <f ca="1">AVERAGE(OFFSET($AM$3,0,0,'Données projet'!$E$10+1,1))-AVERAGE(OFFSET($H$3,0,0,'Données projet'!$E$10+1,1))</f>
        <v>175.05987582828078</v>
      </c>
      <c r="AO38" s="62">
        <f t="shared" si="36"/>
        <v>268.54782308462387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7.9051936149433555</v>
      </c>
      <c r="AW38" s="23">
        <f>EXP(-LN(2)/2)*AW37+(1-EXP(-LN(2)/2))/(LN(2)/2)*AQ38*AT38*VLOOKUP('Données projet'!$B$10,Paramètres!$A$1:$I$89,3,0)*0.475*44/12</f>
        <v>2.2360417721250676</v>
      </c>
      <c r="AX38" s="23">
        <f t="shared" si="6"/>
        <v>10.141235387068424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projet'!$B$11,Paramètres!$A$1:$I$89,3,0)*VLOOKUP('Données projet'!$B$11,Paramètres!$A$1:$I$89,5,0)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598.95819927907769</v>
      </c>
      <c r="BI38" s="62">
        <f ca="1">AVERAGE(OFFSET($BH$3,0,0,'Données projet'!$E$11+1,1))-AVERAGE(OFFSET($H$3,0,0,'Données projet'!$E$11+1,1))</f>
        <v>287.29865338866551</v>
      </c>
      <c r="BJ38" s="62">
        <f t="shared" si="38"/>
        <v>217.57508587672368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9.5365122058096166</v>
      </c>
      <c r="BR38" s="23">
        <f>EXP(-LN(2)/2)*BR37+(1-EXP(-LN(2)/2))/(LN(2)/2)*BL38*BO38*VLOOKUP('Données projet'!$B$11,Paramètres!$A$1:$I$89,3,0)*0.475*44/12</f>
        <v>2.2744416746558458</v>
      </c>
      <c r="BS38" s="24">
        <f t="shared" si="9"/>
        <v>11.810953880465462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301.57142857142844</v>
      </c>
      <c r="O39" s="14">
        <f>N39*VLOOKUP('Données projet'!$B$9,Paramètres!$A$1:$I$89,3,0)*VLOOKUP('Données projet'!$B$9,Paramètres!$A$1:$I$89,5,0)</f>
        <v>168.5784285714285</v>
      </c>
      <c r="P39" s="14">
        <f t="shared" si="33"/>
        <v>42.771483439273169</v>
      </c>
      <c r="Q39" s="22">
        <f t="shared" si="53"/>
        <v>368.10109675197208</v>
      </c>
      <c r="R39" s="62">
        <f t="shared" si="0"/>
        <v>661.43443008530539</v>
      </c>
      <c r="S39" s="62">
        <f ca="1">AVERAGE(OFFSET($R$3,0,0,'Données projet'!$E$9+1,1))-AVERAGE(OFFSET($H$3,0,0,'Données projet'!$E$9+1,1))</f>
        <v>302.20483575440988</v>
      </c>
      <c r="T39" s="62">
        <f t="shared" si="34"/>
        <v>275.32862097158687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18.856528914218341</v>
      </c>
      <c r="AB39" s="23">
        <f>EXP(-LN(2)/2)*AB38+(1-EXP(-LN(2)/2))/(LN(2)/2)*V39*Y39*VLOOKUP('Données projet'!$B$9,Paramètres!$A$1:$I$89,3,0)*0.475*44/12</f>
        <v>1.3759726302106574</v>
      </c>
      <c r="AC39" s="24">
        <f t="shared" si="3"/>
        <v>20.232501544428999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248</v>
      </c>
      <c r="AG39" s="13">
        <f>VLOOKUP(A39,'Données projet'!$A$61:$I$81,9,0)</f>
        <v>12.833333333333334</v>
      </c>
      <c r="AH39" s="13">
        <f t="array" ref="AH39">INDEX(AG:AG,MIN(IF(ISNUMBER(AG39:AG235),ROW(AG39:AG235),"")))</f>
        <v>12.833333333333334</v>
      </c>
      <c r="AI39" s="14">
        <f>IF('Données projet'!$A$62&gt;35,AI38+AH39-AQ38,IF(A39&lt;'Données projet'!$A$62,$AF$205^A39,IF(A39='Données projet'!$A$62,'Données projet'!$B$62,AI38+AH39-AQ38)))</f>
        <v>248</v>
      </c>
      <c r="AJ39" s="14">
        <f>AI39*VLOOKUP('Données projet'!$B$10,Paramètres!$A$1:$I$89,3,0)*VLOOKUP('Données projet'!$B$10,Paramètres!$A$1:$I$89,5,0)</f>
        <v>154.75199999999998</v>
      </c>
      <c r="AK39" s="14">
        <f t="shared" si="35"/>
        <v>39.656526650076415</v>
      </c>
      <c r="AL39" s="22">
        <f t="shared" si="4"/>
        <v>338.5948505822164</v>
      </c>
      <c r="AM39" s="62">
        <f t="shared" si="5"/>
        <v>631.92818391554965</v>
      </c>
      <c r="AN39" s="62">
        <f ca="1">AVERAGE(OFFSET($AM$3,0,0,'Données projet'!$E$10+1,1))-AVERAGE(OFFSET($H$3,0,0,'Données projet'!$E$10+1,1))</f>
        <v>175.05987582828078</v>
      </c>
      <c r="AO39" s="62">
        <f t="shared" si="36"/>
        <v>268.54782308462387</v>
      </c>
      <c r="AP39" s="16">
        <f>IF(ISNA(VLOOKUP(A39,'Données projet'!$A$61:$I$81,3,0)),0,VLOOKUP(A39,'Données projet'!$A$61:$I$81,3,0))</f>
        <v>5</v>
      </c>
      <c r="AQ39" s="16">
        <f>IF(ISNA(VLOOKUP(A39,'Données projet'!$A$61:$I$81,4,0)),0,VLOOKUP(A39,'Données projet'!$A$61:$I$81,4,0))</f>
        <v>62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7.6890256798266652</v>
      </c>
      <c r="AW39" s="23">
        <f>EXP(-LN(2)/2)*AW38+(1-EXP(-LN(2)/2))/(LN(2)/2)*AQ39*AT39*VLOOKUP('Données projet'!$B$10,Paramètres!$A$1:$I$89,3,0)*0.475*44/12</f>
        <v>1.5811203000860203</v>
      </c>
      <c r="AX39" s="23">
        <f t="shared" si="6"/>
        <v>9.2701459799126855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projet'!$B$11,Paramètres!$A$1:$I$89,3,0)*VLOOKUP('Données projet'!$B$11,Paramètres!$A$1:$I$89,5,0)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564.85955448553761</v>
      </c>
      <c r="BI39" s="62">
        <f ca="1">AVERAGE(OFFSET($BH$3,0,0,'Données projet'!$E$11+1,1))-AVERAGE(OFFSET($H$3,0,0,'Données projet'!$E$11+1,1))</f>
        <v>287.29865338866551</v>
      </c>
      <c r="BJ39" s="62">
        <f t="shared" si="38"/>
        <v>217.57508587672368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9.2757357780383725</v>
      </c>
      <c r="BR39" s="23">
        <f>EXP(-LN(2)/2)*BR38+(1-EXP(-LN(2)/2))/(LN(2)/2)*BL39*BO39*VLOOKUP('Données projet'!$B$11,Paramètres!$A$1:$I$89,3,0)*0.475*44/12</f>
        <v>1.6082731315624359</v>
      </c>
      <c r="BS39" s="24">
        <f t="shared" si="9"/>
        <v>10.884008909600809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321.142857142857</v>
      </c>
      <c r="O40" s="14">
        <f>N40*VLOOKUP('Données projet'!$B$9,Paramètres!$A$1:$I$89,3,0)*VLOOKUP('Données projet'!$B$9,Paramètres!$A$1:$I$89,5,0)</f>
        <v>179.51885714285706</v>
      </c>
      <c r="P40" s="14">
        <f t="shared" si="33"/>
        <v>45.215124075787188</v>
      </c>
      <c r="Q40" s="22">
        <f t="shared" si="53"/>
        <v>391.41168395580547</v>
      </c>
      <c r="R40" s="62">
        <f t="shared" si="0"/>
        <v>684.74501728913879</v>
      </c>
      <c r="S40" s="62">
        <f ca="1">AVERAGE(OFFSET($R$3,0,0,'Données projet'!$E$9+1,1))-AVERAGE(OFFSET($H$3,0,0,'Données projet'!$E$9+1,1))</f>
        <v>302.20483575440988</v>
      </c>
      <c r="T40" s="62">
        <f t="shared" si="34"/>
        <v>275.32862097158687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18.340896139437284</v>
      </c>
      <c r="AB40" s="23">
        <f>EXP(-LN(2)/2)*AB39+(1-EXP(-LN(2)/2))/(LN(2)/2)*V40*Y40*VLOOKUP('Données projet'!$B$9,Paramètres!$A$1:$I$89,3,0)*0.475*44/12</f>
        <v>0.97295957754904572</v>
      </c>
      <c r="AC40" s="24">
        <f t="shared" si="3"/>
        <v>19.313855716986328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197.5</v>
      </c>
      <c r="AJ40" s="14">
        <f>AI40*VLOOKUP('Données projet'!$B$10,Paramètres!$A$1:$I$89,3,0)*VLOOKUP('Données projet'!$B$10,Paramètres!$A$1:$I$89,5,0)</f>
        <v>123.24</v>
      </c>
      <c r="AK40" s="14">
        <f t="shared" si="35"/>
        <v>32.429500380369056</v>
      </c>
      <c r="AL40" s="22">
        <f t="shared" si="4"/>
        <v>271.12437982914275</v>
      </c>
      <c r="AM40" s="62">
        <f t="shared" si="5"/>
        <v>564.45771316247601</v>
      </c>
      <c r="AN40" s="62">
        <f ca="1">AVERAGE(OFFSET($AM$3,0,0,'Données projet'!$E$10+1,1))-AVERAGE(OFFSET($H$3,0,0,'Données projet'!$E$10+1,1))</f>
        <v>175.05987582828078</v>
      </c>
      <c r="AO40" s="62">
        <f t="shared" si="36"/>
        <v>268.54782308462387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7.4787688682635176</v>
      </c>
      <c r="AW40" s="23">
        <f>EXP(-LN(2)/2)*AW39+(1-EXP(-LN(2)/2))/(LN(2)/2)*AQ40*AT40*VLOOKUP('Données projet'!$B$10,Paramètres!$A$1:$I$89,3,0)*0.475*44/12</f>
        <v>1.118020886062534</v>
      </c>
      <c r="AX40" s="23">
        <f t="shared" si="6"/>
        <v>8.5967897543260516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projet'!$B$11,Paramètres!$A$1:$I$89,3,0)*VLOOKUP('Données projet'!$B$11,Paramètres!$A$1:$I$89,5,0)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583.33014493564747</v>
      </c>
      <c r="BI40" s="62">
        <f ca="1">AVERAGE(OFFSET($BH$3,0,0,'Données projet'!$E$11+1,1))-AVERAGE(OFFSET($H$3,0,0,'Données projet'!$E$11+1,1))</f>
        <v>287.29865338866551</v>
      </c>
      <c r="BJ40" s="62">
        <f t="shared" si="38"/>
        <v>217.57508587672368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9.0220902953981685</v>
      </c>
      <c r="BR40" s="23">
        <f>EXP(-LN(2)/2)*BR39+(1-EXP(-LN(2)/2))/(LN(2)/2)*BL40*BO40*VLOOKUP('Données projet'!$B$11,Paramètres!$A$1:$I$89,3,0)*0.475*44/12</f>
        <v>1.1372208373279229</v>
      </c>
      <c r="BS40" s="24">
        <f t="shared" si="9"/>
        <v>10.159311132726092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340.71428571428555</v>
      </c>
      <c r="O41" s="14">
        <f>N41*VLOOKUP('Données projet'!$B$9,Paramètres!$A$1:$I$89,3,0)*VLOOKUP('Données projet'!$B$9,Paramètres!$A$1:$I$89,5,0)</f>
        <v>190.45928571428561</v>
      </c>
      <c r="P41" s="14">
        <f t="shared" si="33"/>
        <v>47.641480128932045</v>
      </c>
      <c r="Q41" s="22">
        <f t="shared" si="53"/>
        <v>414.6921671769374</v>
      </c>
      <c r="R41" s="62">
        <f t="shared" si="0"/>
        <v>708.02550051027072</v>
      </c>
      <c r="S41" s="62">
        <f ca="1">AVERAGE(OFFSET($R$3,0,0,'Données projet'!$E$9+1,1))-AVERAGE(OFFSET($H$3,0,0,'Données projet'!$E$9+1,1))</f>
        <v>302.20483575440988</v>
      </c>
      <c r="T41" s="62">
        <f t="shared" si="34"/>
        <v>275.32862097158687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17.839363369998562</v>
      </c>
      <c r="AB41" s="23">
        <f>EXP(-LN(2)/2)*AB40+(1-EXP(-LN(2)/2))/(LN(2)/2)*V41*Y41*VLOOKUP('Données projet'!$B$9,Paramètres!$A$1:$I$89,3,0)*0.475*44/12</f>
        <v>0.68798631510532882</v>
      </c>
      <c r="AC41" s="24">
        <f t="shared" si="3"/>
        <v>18.527349685103889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11.5</v>
      </c>
      <c r="AI41" s="14">
        <f>IF('Données projet'!$A$62&gt;35,AI40+AH41-AQ40,IF(A41&lt;'Données projet'!$A$62,$AF$205^A41,IF(A41='Données projet'!$A$62,'Données projet'!$B$62,AI40+AH41-AQ40)))</f>
        <v>209</v>
      </c>
      <c r="AJ41" s="14">
        <f>AI41*VLOOKUP('Données projet'!$B$10,Paramètres!$A$1:$I$89,3,0)*VLOOKUP('Données projet'!$B$10,Paramètres!$A$1:$I$89,5,0)</f>
        <v>130.416</v>
      </c>
      <c r="AK41" s="14">
        <f t="shared" si="35"/>
        <v>34.092466837179941</v>
      </c>
      <c r="AL41" s="22">
        <f t="shared" si="4"/>
        <v>286.51891307475506</v>
      </c>
      <c r="AM41" s="62">
        <f t="shared" si="5"/>
        <v>579.85224640808838</v>
      </c>
      <c r="AN41" s="62">
        <f ca="1">AVERAGE(OFFSET($AM$3,0,0,'Données projet'!$E$10+1,1))-AVERAGE(OFFSET($H$3,0,0,'Données projet'!$E$10+1,1))</f>
        <v>175.05987582828078</v>
      </c>
      <c r="AO41" s="62">
        <f t="shared" si="36"/>
        <v>268.54782308462387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7.2742615402694897</v>
      </c>
      <c r="AW41" s="23">
        <f>EXP(-LN(2)/2)*AW40+(1-EXP(-LN(2)/2))/(LN(2)/2)*AQ41*AT41*VLOOKUP('Données projet'!$B$10,Paramètres!$A$1:$I$89,3,0)*0.475*44/12</f>
        <v>0.79056015004301028</v>
      </c>
      <c r="AX41" s="23">
        <f t="shared" si="6"/>
        <v>8.0648216903125007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projet'!$B$11,Paramètres!$A$1:$I$89,3,0)*VLOOKUP('Données projet'!$B$11,Paramètres!$A$1:$I$89,5,0)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601.7744528299088</v>
      </c>
      <c r="BI41" s="62">
        <f ca="1">AVERAGE(OFFSET($BH$3,0,0,'Données projet'!$E$11+1,1))-AVERAGE(OFFSET($H$3,0,0,'Données projet'!$E$11+1,1))</f>
        <v>287.29865338866551</v>
      </c>
      <c r="BJ41" s="62">
        <f t="shared" si="38"/>
        <v>217.57508587672368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8.7753807618193971</v>
      </c>
      <c r="BR41" s="23">
        <f>EXP(-LN(2)/2)*BR40+(1-EXP(-LN(2)/2))/(LN(2)/2)*BL41*BO41*VLOOKUP('Données projet'!$B$11,Paramètres!$A$1:$I$89,3,0)*0.475*44/12</f>
        <v>0.80413656578121795</v>
      </c>
      <c r="BS41" s="24">
        <f t="shared" si="9"/>
        <v>9.5795173276006143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360.28571428571411</v>
      </c>
      <c r="O42" s="14">
        <f>N42*VLOOKUP('Données projet'!$B$9,Paramètres!$A$1:$I$89,3,0)*VLOOKUP('Données projet'!$B$9,Paramètres!$A$1:$I$89,5,0)</f>
        <v>201.39971428571417</v>
      </c>
      <c r="P42" s="14">
        <f t="shared" si="33"/>
        <v>50.051657588658017</v>
      </c>
      <c r="Q42" s="22">
        <f t="shared" si="53"/>
        <v>437.94447268119819</v>
      </c>
      <c r="R42" s="62">
        <f t="shared" si="0"/>
        <v>731.27780601453151</v>
      </c>
      <c r="S42" s="62">
        <f ca="1">AVERAGE(OFFSET($R$3,0,0,'Données projet'!$E$9+1,1))-AVERAGE(OFFSET($H$3,0,0,'Données projet'!$E$9+1,1))</f>
        <v>302.20483575440988</v>
      </c>
      <c r="T42" s="62">
        <f t="shared" si="34"/>
        <v>275.32862097158687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17.351545040514605</v>
      </c>
      <c r="AB42" s="23">
        <f>EXP(-LN(2)/2)*AB41+(1-EXP(-LN(2)/2))/(LN(2)/2)*V42*Y42*VLOOKUP('Données projet'!$B$9,Paramètres!$A$1:$I$89,3,0)*0.475*44/12</f>
        <v>0.48647978877452291</v>
      </c>
      <c r="AC42" s="24">
        <f t="shared" si="3"/>
        <v>17.838024829289129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11.5</v>
      </c>
      <c r="AI42" s="14">
        <f>IF('Données projet'!$A$62&gt;35,AI41+AH42-AQ41,IF(A42&lt;'Données projet'!$A$62,$AF$205^A42,IF(A42='Données projet'!$A$62,'Données projet'!$B$62,AI41+AH42-AQ41)))</f>
        <v>220.5</v>
      </c>
      <c r="AJ42" s="14">
        <f>AI42*VLOOKUP('Données projet'!$B$10,Paramètres!$A$1:$I$89,3,0)*VLOOKUP('Données projet'!$B$10,Paramètres!$A$1:$I$89,5,0)</f>
        <v>137.59199999999998</v>
      </c>
      <c r="AK42" s="14">
        <f t="shared" si="35"/>
        <v>35.744810729505772</v>
      </c>
      <c r="AL42" s="22">
        <f t="shared" si="4"/>
        <v>301.89494535388923</v>
      </c>
      <c r="AM42" s="62">
        <f t="shared" si="5"/>
        <v>595.22827868722254</v>
      </c>
      <c r="AN42" s="62">
        <f ca="1">AVERAGE(OFFSET($AM$3,0,0,'Données projet'!$E$10+1,1))-AVERAGE(OFFSET($H$3,0,0,'Données projet'!$E$10+1,1))</f>
        <v>175.05987582828078</v>
      </c>
      <c r="AO42" s="62">
        <f t="shared" si="36"/>
        <v>268.54782308462387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7.0753464759140314</v>
      </c>
      <c r="AW42" s="23">
        <f>EXP(-LN(2)/2)*AW41+(1-EXP(-LN(2)/2))/(LN(2)/2)*AQ42*AT42*VLOOKUP('Données projet'!$B$10,Paramètres!$A$1:$I$89,3,0)*0.475*44/12</f>
        <v>0.55901044303126712</v>
      </c>
      <c r="AX42" s="23">
        <f t="shared" si="6"/>
        <v>7.6343569189452989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projet'!$B$11,Paramètres!$A$1:$I$89,3,0)*VLOOKUP('Données projet'!$B$11,Paramètres!$A$1:$I$89,5,0)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620.1942705288061</v>
      </c>
      <c r="BI42" s="62">
        <f ca="1">AVERAGE(OFFSET($BH$3,0,0,'Données projet'!$E$11+1,1))-AVERAGE(OFFSET($H$3,0,0,'Données projet'!$E$11+1,1))</f>
        <v>287.29865338866551</v>
      </c>
      <c r="BJ42" s="62">
        <f t="shared" si="38"/>
        <v>217.57508587672368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8.535417513410227</v>
      </c>
      <c r="BR42" s="23">
        <f>EXP(-LN(2)/2)*BR41+(1-EXP(-LN(2)/2))/(LN(2)/2)*BL42*BO42*VLOOKUP('Données projet'!$B$11,Paramètres!$A$1:$I$89,3,0)*0.475*44/12</f>
        <v>0.56861041866396145</v>
      </c>
      <c r="BS42" s="24">
        <f t="shared" si="9"/>
        <v>9.1040279320741888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379.85714285714266</v>
      </c>
      <c r="O43" s="14">
        <f>N43*VLOOKUP('Données projet'!$B$9,Paramètres!$A$1:$I$89,3,0)*VLOOKUP('Données projet'!$B$9,Paramètres!$A$1:$I$89,5,0)</f>
        <v>212.34014285714278</v>
      </c>
      <c r="P43" s="14">
        <f t="shared" si="33"/>
        <v>52.446635499473253</v>
      </c>
      <c r="Q43" s="22">
        <f t="shared" si="53"/>
        <v>461.17030563777286</v>
      </c>
      <c r="R43" s="62">
        <f t="shared" si="0"/>
        <v>754.50363897110617</v>
      </c>
      <c r="S43" s="62">
        <f ca="1">AVERAGE(OFFSET($R$3,0,0,'Données projet'!$E$9+1,1))-AVERAGE(OFFSET($H$3,0,0,'Données projet'!$E$9+1,1))</f>
        <v>302.20483575440988</v>
      </c>
      <c r="T43" s="62">
        <f t="shared" si="34"/>
        <v>275.32862097158687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16.877066128903635</v>
      </c>
      <c r="AB43" s="23">
        <f>EXP(-LN(2)/2)*AB42+(1-EXP(-LN(2)/2))/(LN(2)/2)*V43*Y43*VLOOKUP('Données projet'!$B$9,Paramètres!$A$1:$I$89,3,0)*0.475*44/12</f>
        <v>0.34399315755266446</v>
      </c>
      <c r="AC43" s="24">
        <f t="shared" si="3"/>
        <v>17.221059286456299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11.5</v>
      </c>
      <c r="AI43" s="14">
        <f>IF('Données projet'!$A$62&gt;35,AI42+AH43-AQ42,IF(A43&lt;'Données projet'!$A$62,$AF$205^A43,IF(A43='Données projet'!$A$62,'Données projet'!$B$62,AI42+AH43-AQ42)))</f>
        <v>232</v>
      </c>
      <c r="AJ43" s="14">
        <f>AI43*VLOOKUP('Données projet'!$B$10,Paramètres!$A$1:$I$89,3,0)*VLOOKUP('Données projet'!$B$10,Paramètres!$A$1:$I$89,5,0)</f>
        <v>144.768</v>
      </c>
      <c r="AK43" s="14">
        <f t="shared" si="35"/>
        <v>37.387149255707826</v>
      </c>
      <c r="AL43" s="22">
        <f t="shared" si="4"/>
        <v>317.25355162035777</v>
      </c>
      <c r="AM43" s="62">
        <f t="shared" si="5"/>
        <v>610.58688495369108</v>
      </c>
      <c r="AN43" s="62">
        <f ca="1">AVERAGE(OFFSET($AM$3,0,0,'Données projet'!$E$10+1,1))-AVERAGE(OFFSET($H$3,0,0,'Données projet'!$E$10+1,1))</f>
        <v>175.05987582828078</v>
      </c>
      <c r="AO43" s="62">
        <f t="shared" si="36"/>
        <v>268.54782308462387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6.8818707544538622</v>
      </c>
      <c r="AW43" s="23">
        <f>EXP(-LN(2)/2)*AW42+(1-EXP(-LN(2)/2))/(LN(2)/2)*AQ43*AT43*VLOOKUP('Données projet'!$B$10,Paramètres!$A$1:$I$89,3,0)*0.475*44/12</f>
        <v>0.3952800750215052</v>
      </c>
      <c r="AX43" s="23">
        <f t="shared" si="6"/>
        <v>7.2771508294753673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projet'!$B$11,Paramètres!$A$1:$I$89,3,0)*VLOOKUP('Données projet'!$B$11,Paramètres!$A$1:$I$89,5,0)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638.59117190026234</v>
      </c>
      <c r="BI43" s="62">
        <f ca="1">AVERAGE(OFFSET($BH$3,0,0,'Données projet'!$E$11+1,1))-AVERAGE(OFFSET($H$3,0,0,'Données projet'!$E$11+1,1))</f>
        <v>287.29865338866551</v>
      </c>
      <c r="BJ43" s="62">
        <f t="shared" si="38"/>
        <v>217.57508587672368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8.3020160726479251</v>
      </c>
      <c r="BR43" s="23">
        <f>EXP(-LN(2)/2)*BR42+(1-EXP(-LN(2)/2))/(LN(2)/2)*BL43*BO43*VLOOKUP('Données projet'!$B$11,Paramètres!$A$1:$I$89,3,0)*0.475*44/12</f>
        <v>0.40206828289060897</v>
      </c>
      <c r="BS43" s="24">
        <f t="shared" si="9"/>
        <v>8.7040843555385337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399.42857142857122</v>
      </c>
      <c r="O44" s="14">
        <f>N44*VLOOKUP('Données projet'!$B$9,Paramètres!$A$1:$I$89,3,0)*VLOOKUP('Données projet'!$B$9,Paramètres!$A$1:$I$89,5,0)</f>
        <v>223.28057142857133</v>
      </c>
      <c r="P44" s="14">
        <f t="shared" si="33"/>
        <v>54.827286320639246</v>
      </c>
      <c r="Q44" s="22">
        <f t="shared" si="53"/>
        <v>484.37118557987498</v>
      </c>
      <c r="R44" s="62">
        <f t="shared" si="0"/>
        <v>777.70451891320829</v>
      </c>
      <c r="S44" s="62">
        <f ca="1">AVERAGE(OFFSET($R$3,0,0,'Données projet'!$E$9+1,1))-AVERAGE(OFFSET($H$3,0,0,'Données projet'!$E$9+1,1))</f>
        <v>302.20483575440988</v>
      </c>
      <c r="T44" s="62">
        <f t="shared" si="34"/>
        <v>275.32862097158687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16.415561868082431</v>
      </c>
      <c r="AB44" s="23">
        <f>EXP(-LN(2)/2)*AB43+(1-EXP(-LN(2)/2))/(LN(2)/2)*V44*Y44*VLOOKUP('Données projet'!$B$9,Paramètres!$A$1:$I$89,3,0)*0.475*44/12</f>
        <v>0.24323989438726148</v>
      </c>
      <c r="AC44" s="24">
        <f t="shared" si="3"/>
        <v>16.658801762469693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243.5</v>
      </c>
      <c r="AJ44" s="14">
        <f>AI44*VLOOKUP('Données projet'!$B$10,Paramètres!$A$1:$I$89,3,0)*VLOOKUP('Données projet'!$B$10,Paramètres!$A$1:$I$89,5,0)</f>
        <v>151.94399999999999</v>
      </c>
      <c r="AK44" s="14">
        <f t="shared" si="35"/>
        <v>39.02003496976517</v>
      </c>
      <c r="AL44" s="22">
        <f t="shared" si="4"/>
        <v>332.59569423900763</v>
      </c>
      <c r="AM44" s="62">
        <f t="shared" si="5"/>
        <v>625.92902757234094</v>
      </c>
      <c r="AN44" s="62">
        <f ca="1">AVERAGE(OFFSET($AM$3,0,0,'Données projet'!$E$10+1,1))-AVERAGE(OFFSET($H$3,0,0,'Données projet'!$E$10+1,1))</f>
        <v>175.05987582828078</v>
      </c>
      <c r="AO44" s="62">
        <f t="shared" si="36"/>
        <v>268.54782308462387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6.693685636771467</v>
      </c>
      <c r="AW44" s="23">
        <f>EXP(-LN(2)/2)*AW43+(1-EXP(-LN(2)/2))/(LN(2)/2)*AQ44*AT44*VLOOKUP('Données projet'!$B$10,Paramètres!$A$1:$I$89,3,0)*0.475*44/12</f>
        <v>0.27950522151563356</v>
      </c>
      <c r="AX44" s="23">
        <f t="shared" si="6"/>
        <v>6.9731908582871007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</v>
      </c>
      <c r="BD44" s="13">
        <f>IF('Données projet'!$A$88&gt;35,BD43+BC44-BL43,IF(A44&lt;'Données projet'!$A$88,$BA$205^A44,IF(A44='Données projet'!$A$88,'Données projet'!$B$88,BD43+BC44-BL43)))</f>
        <v>242.00000000000006</v>
      </c>
      <c r="BE44" s="14">
        <f>BD44*VLOOKUP('Données projet'!$B$11,Paramètres!$A$1:$I$89,3,0)*VLOOKUP('Données projet'!$B$11,Paramètres!$A$1:$I$89,5,0)</f>
        <v>144.71600000000007</v>
      </c>
      <c r="BF44" s="14">
        <f t="shared" si="37"/>
        <v>37.375282885096105</v>
      </c>
      <c r="BG44" s="22">
        <f t="shared" si="7"/>
        <v>317.14231769154247</v>
      </c>
      <c r="BH44" s="62">
        <f t="shared" si="8"/>
        <v>610.47565102487579</v>
      </c>
      <c r="BI44" s="62">
        <f ca="1">AVERAGE(OFFSET($BH$3,0,0,'Données projet'!$E$11+1,1))-AVERAGE(OFFSET($H$3,0,0,'Données projet'!$E$11+1,1))</f>
        <v>287.29865338866551</v>
      </c>
      <c r="BJ44" s="62">
        <f t="shared" si="38"/>
        <v>217.57508587672368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8.0749970065573162</v>
      </c>
      <c r="BR44" s="23">
        <f>EXP(-LN(2)/2)*BR43+(1-EXP(-LN(2)/2))/(LN(2)/2)*BL44*BO44*VLOOKUP('Données projet'!$B$11,Paramètres!$A$1:$I$89,3,0)*0.475*44/12</f>
        <v>0.28430520933198072</v>
      </c>
      <c r="BS44" s="24">
        <f t="shared" si="9"/>
        <v>8.3593022158892971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419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418.99999999999977</v>
      </c>
      <c r="O45" s="14">
        <f>N45*VLOOKUP('Données projet'!$B$9,Paramètres!$A$1:$I$89,3,0)*VLOOKUP('Données projet'!$B$9,Paramètres!$A$1:$I$89,5,0)</f>
        <v>234.22099999999989</v>
      </c>
      <c r="P45" s="14">
        <f t="shared" si="33"/>
        <v>57.194392182630075</v>
      </c>
      <c r="Q45" s="22">
        <f t="shared" si="53"/>
        <v>507.54847471808051</v>
      </c>
      <c r="R45" s="62">
        <f t="shared" si="0"/>
        <v>800.88180805141383</v>
      </c>
      <c r="S45" s="62">
        <f ca="1">AVERAGE(OFFSET($R$3,0,0,'Données projet'!$E$9+1,1))-AVERAGE(OFFSET($H$3,0,0,'Données projet'!$E$9+1,1))</f>
        <v>302.20483575440988</v>
      </c>
      <c r="T45" s="62">
        <f t="shared" si="34"/>
        <v>275.32862097158687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77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15.966677465542837</v>
      </c>
      <c r="AB45" s="23">
        <f>EXP(-LN(2)/2)*AB44+(1-EXP(-LN(2)/2))/(LN(2)/2)*V45*Y45*VLOOKUP('Données projet'!$B$9,Paramètres!$A$1:$I$89,3,0)*0.475*44/12</f>
        <v>0.17199657877633226</v>
      </c>
      <c r="AC45" s="24">
        <f t="shared" si="3"/>
        <v>16.138674044319171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255</v>
      </c>
      <c r="AG45" s="13">
        <f>VLOOKUP(A45,'Données projet'!$A$61:$I$81,9,0)</f>
        <v>11.5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255</v>
      </c>
      <c r="AJ45" s="14">
        <f>AI45*VLOOKUP('Données projet'!$B$10,Paramètres!$A$1:$I$89,3,0)*VLOOKUP('Données projet'!$B$10,Paramètres!$A$1:$I$89,5,0)</f>
        <v>159.12</v>
      </c>
      <c r="AK45" s="14">
        <f t="shared" si="35"/>
        <v>40.643965284387697</v>
      </c>
      <c r="AL45" s="22">
        <f t="shared" si="4"/>
        <v>347.92223953697521</v>
      </c>
      <c r="AM45" s="62">
        <f t="shared" si="5"/>
        <v>641.25557287030847</v>
      </c>
      <c r="AN45" s="62">
        <f ca="1">AVERAGE(OFFSET($AM$3,0,0,'Données projet'!$E$10+1,1))-AVERAGE(OFFSET($H$3,0,0,'Données projet'!$E$10+1,1))</f>
        <v>175.05987582828078</v>
      </c>
      <c r="AO45" s="62">
        <f t="shared" si="36"/>
        <v>268.54782308462387</v>
      </c>
      <c r="AP45" s="16">
        <f>IF(ISNA(VLOOKUP(A45,'Données projet'!$A$61:$I$81,3,0)),0,VLOOKUP(A45,'Données projet'!$A$61:$I$81,3,0))</f>
        <v>6</v>
      </c>
      <c r="AQ45" s="16">
        <f>IF(ISNA(VLOOKUP(A45,'Données projet'!$A$61:$I$81,4,0)),0,VLOOKUP(A45,'Données projet'!$A$61:$I$81,4,0))</f>
        <v>67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6.5106464510283226</v>
      </c>
      <c r="AW45" s="23">
        <f>EXP(-LN(2)/2)*AW44+(1-EXP(-LN(2)/2))/(LN(2)/2)*AQ45*AT45*VLOOKUP('Données projet'!$B$10,Paramètres!$A$1:$I$89,3,0)*0.475*44/12</f>
        <v>0.1976400375107526</v>
      </c>
      <c r="AX45" s="23">
        <f t="shared" si="6"/>
        <v>6.7082864885390752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19</v>
      </c>
      <c r="BD45" s="13">
        <f>IF('Données projet'!$A$88&gt;35,BD44+BC45-BL44,IF(A45&lt;'Données projet'!$A$88,$BA$205^A45,IF(A45='Données projet'!$A$88,'Données projet'!$B$88,BD44+BC45-BL44)))</f>
        <v>261.00000000000006</v>
      </c>
      <c r="BE45" s="14">
        <f>BD45*VLOOKUP('Données projet'!$B$11,Paramètres!$A$1:$I$89,3,0)*VLOOKUP('Données projet'!$B$11,Paramètres!$A$1:$I$89,5,0)</f>
        <v>156.07800000000003</v>
      </c>
      <c r="BF45" s="14">
        <f t="shared" si="37"/>
        <v>39.956623674978466</v>
      </c>
      <c r="BG45" s="22">
        <f t="shared" si="7"/>
        <v>341.42696956725422</v>
      </c>
      <c r="BH45" s="62">
        <f t="shared" si="8"/>
        <v>634.76030290058748</v>
      </c>
      <c r="BI45" s="62">
        <f ca="1">AVERAGE(OFFSET($BH$3,0,0,'Données projet'!$E$11+1,1))-AVERAGE(OFFSET($H$3,0,0,'Données projet'!$E$11+1,1))</f>
        <v>287.29865338866551</v>
      </c>
      <c r="BJ45" s="62">
        <f t="shared" si="38"/>
        <v>217.57508587672368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7.8541857887673698</v>
      </c>
      <c r="BR45" s="23">
        <f>EXP(-LN(2)/2)*BR44+(1-EXP(-LN(2)/2))/(LN(2)/2)*BL45*BO45*VLOOKUP('Données projet'!$B$11,Paramètres!$A$1:$I$89,3,0)*0.475*44/12</f>
        <v>0.20103414144530449</v>
      </c>
      <c r="BS45" s="24">
        <f t="shared" si="9"/>
        <v>8.0552199302126741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18.714285714285715</v>
      </c>
      <c r="N46" s="14">
        <f>IF('Données projet'!$A$36&gt;35,N45+M46-V45,IF(A46&lt;'Données projet'!$A$36,$K$205^A46,IF(A46='Données projet'!$A$36,'Données projet'!$B$36,N45+M46-V45)))</f>
        <v>360.7142857142855</v>
      </c>
      <c r="O46" s="14">
        <f>N46*VLOOKUP('Données projet'!$B$9,Paramètres!$A$1:$I$89,3,0)*VLOOKUP('Données projet'!$B$9,Paramètres!$A$1:$I$89,5,0)</f>
        <v>201.63928571428559</v>
      </c>
      <c r="P46" s="14">
        <f t="shared" si="33"/>
        <v>50.104261772905943</v>
      </c>
      <c r="Q46" s="22">
        <f t="shared" si="53"/>
        <v>438.45334520685856</v>
      </c>
      <c r="R46" s="62">
        <f t="shared" si="0"/>
        <v>731.78667854019182</v>
      </c>
      <c r="S46" s="62">
        <f ca="1">AVERAGE(OFFSET($R$3,0,0,'Données projet'!$E$9+1,1))-AVERAGE(OFFSET($H$3,0,0,'Données projet'!$E$9+1,1))</f>
        <v>302.20483575440988</v>
      </c>
      <c r="T46" s="62">
        <f t="shared" si="34"/>
        <v>275.32862097158687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15.530067830596492</v>
      </c>
      <c r="AB46" s="23">
        <f>EXP(-LN(2)/2)*AB45+(1-EXP(-LN(2)/2))/(LN(2)/2)*V46*Y46*VLOOKUP('Données projet'!$B$9,Paramètres!$A$1:$I$89,3,0)*0.475*44/12</f>
        <v>0.12161994719363077</v>
      </c>
      <c r="AC46" s="24">
        <f t="shared" si="3"/>
        <v>15.651687777790123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10.666666666666666</v>
      </c>
      <c r="AI46" s="14">
        <f>IF('Données projet'!$A$62&gt;35,AI45+AH46-AQ45,IF(A46&lt;'Données projet'!$A$62,$AF$205^A46,IF(A46='Données projet'!$A$62,'Données projet'!$B$62,AI45+AH46-AQ45)))</f>
        <v>198.66666666666669</v>
      </c>
      <c r="AJ46" s="14">
        <f>AI46*VLOOKUP('Données projet'!$B$10,Paramètres!$A$1:$I$89,3,0)*VLOOKUP('Données projet'!$B$10,Paramètres!$A$1:$I$89,5,0)</f>
        <v>123.968</v>
      </c>
      <c r="AK46" s="14">
        <f t="shared" si="35"/>
        <v>32.598710622532096</v>
      </c>
      <c r="AL46" s="22">
        <f t="shared" si="4"/>
        <v>272.68702100091008</v>
      </c>
      <c r="AM46" s="62">
        <f t="shared" si="5"/>
        <v>566.02035433424339</v>
      </c>
      <c r="AN46" s="62">
        <f ca="1">AVERAGE(OFFSET($AM$3,0,0,'Données projet'!$E$10+1,1))-AVERAGE(OFFSET($H$3,0,0,'Données projet'!$E$10+1,1))</f>
        <v>175.05987582828078</v>
      </c>
      <c r="AO46" s="62">
        <f t="shared" si="36"/>
        <v>268.54782308462387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6.3326124814449365</v>
      </c>
      <c r="AW46" s="23">
        <f>EXP(-LN(2)/2)*AW45+(1-EXP(-LN(2)/2))/(LN(2)/2)*AQ46*AT46*VLOOKUP('Données projet'!$B$10,Paramètres!$A$1:$I$89,3,0)*0.475*44/12</f>
        <v>0.13975261075781678</v>
      </c>
      <c r="AX46" s="23">
        <f t="shared" si="6"/>
        <v>6.4723650922027529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19</v>
      </c>
      <c r="BD46" s="13">
        <f>IF('Données projet'!$A$88&gt;35,BD45+BC46-BL45,IF(A46&lt;'Données projet'!$A$88,$BA$205^A46,IF(A46='Données projet'!$A$88,'Données projet'!$B$88,BD45+BC46-BL45)))</f>
        <v>280.00000000000006</v>
      </c>
      <c r="BE46" s="14">
        <f>BD46*VLOOKUP('Données projet'!$B$11,Paramètres!$A$1:$I$89,3,0)*VLOOKUP('Données projet'!$B$11,Paramètres!$A$1:$I$89,5,0)</f>
        <v>167.44000000000005</v>
      </c>
      <c r="BF46" s="14">
        <f t="shared" si="37"/>
        <v>42.516163405082935</v>
      </c>
      <c r="BG46" s="22">
        <f t="shared" si="7"/>
        <v>365.67365126385283</v>
      </c>
      <c r="BH46" s="62">
        <f t="shared" si="8"/>
        <v>659.00698459718615</v>
      </c>
      <c r="BI46" s="62">
        <f ca="1">AVERAGE(OFFSET($BH$3,0,0,'Données projet'!$E$11+1,1))-AVERAGE(OFFSET($H$3,0,0,'Données projet'!$E$11+1,1))</f>
        <v>287.29865338866551</v>
      </c>
      <c r="BJ46" s="62">
        <f t="shared" si="38"/>
        <v>217.57508587672368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7.6394126653398464</v>
      </c>
      <c r="BR46" s="23">
        <f>EXP(-LN(2)/2)*BR45+(1-EXP(-LN(2)/2))/(LN(2)/2)*BL46*BO46*VLOOKUP('Données projet'!$B$11,Paramètres!$A$1:$I$89,3,0)*0.475*44/12</f>
        <v>0.14215260466599036</v>
      </c>
      <c r="BS46" s="24">
        <f t="shared" si="9"/>
        <v>7.7815652700058369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18.714285714285715</v>
      </c>
      <c r="N47" s="14">
        <f>IF('Données projet'!$A$36&gt;35,N46+M47-V46,IF(A47&lt;'Données projet'!$A$36,$K$205^A47,IF(A47='Données projet'!$A$36,'Données projet'!$B$36,N46+M47-V46)))</f>
        <v>379.42857142857122</v>
      </c>
      <c r="O47" s="14">
        <f>N47*VLOOKUP('Données projet'!$B$9,Paramètres!$A$1:$I$89,3,0)*VLOOKUP('Données projet'!$B$9,Paramètres!$A$1:$I$89,5,0)</f>
        <v>212.10057142857133</v>
      </c>
      <c r="P47" s="14">
        <f t="shared" si="33"/>
        <v>52.394347167709434</v>
      </c>
      <c r="Q47" s="22">
        <f t="shared" si="53"/>
        <v>460.66198322185556</v>
      </c>
      <c r="R47" s="62">
        <f t="shared" si="0"/>
        <v>753.99531655518888</v>
      </c>
      <c r="S47" s="62">
        <f ca="1">AVERAGE(OFFSET($R$3,0,0,'Données projet'!$E$9+1,1))-AVERAGE(OFFSET($H$3,0,0,'Données projet'!$E$9+1,1))</f>
        <v>302.20483575440988</v>
      </c>
      <c r="T47" s="62">
        <f t="shared" si="34"/>
        <v>275.32862097158687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15.105397309078057</v>
      </c>
      <c r="AB47" s="23">
        <f>EXP(-LN(2)/2)*AB46+(1-EXP(-LN(2)/2))/(LN(2)/2)*V47*Y47*VLOOKUP('Données projet'!$B$9,Paramètres!$A$1:$I$89,3,0)*0.475*44/12</f>
        <v>8.5998289388166144E-2</v>
      </c>
      <c r="AC47" s="24">
        <f t="shared" si="3"/>
        <v>15.191395598466224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10.666666666666666</v>
      </c>
      <c r="AI47" s="14">
        <f>IF('Données projet'!$A$62&gt;35,AI46+AH47-AQ46,IF(A47&lt;'Données projet'!$A$62,$AF$205^A47,IF(A47='Données projet'!$A$62,'Données projet'!$B$62,AI46+AH47-AQ46)))</f>
        <v>209.33333333333334</v>
      </c>
      <c r="AJ47" s="14">
        <f>AI47*VLOOKUP('Données projet'!$B$10,Paramètres!$A$1:$I$89,3,0)*VLOOKUP('Données projet'!$B$10,Paramètres!$A$1:$I$89,5,0)</f>
        <v>130.62400000000002</v>
      </c>
      <c r="AK47" s="14">
        <f t="shared" si="35"/>
        <v>34.140507202645395</v>
      </c>
      <c r="AL47" s="22">
        <f t="shared" si="4"/>
        <v>286.96485004460743</v>
      </c>
      <c r="AM47" s="62">
        <f t="shared" si="5"/>
        <v>580.29818337794075</v>
      </c>
      <c r="AN47" s="62">
        <f ca="1">AVERAGE(OFFSET($AM$3,0,0,'Données projet'!$E$10+1,1))-AVERAGE(OFFSET($H$3,0,0,'Données projet'!$E$10+1,1))</f>
        <v>175.05987582828078</v>
      </c>
      <c r="AO47" s="62">
        <f t="shared" si="36"/>
        <v>268.54782308462387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6.1594468601222081</v>
      </c>
      <c r="AW47" s="23">
        <f>EXP(-LN(2)/2)*AW46+(1-EXP(-LN(2)/2))/(LN(2)/2)*AQ47*AT47*VLOOKUP('Données projet'!$B$10,Paramètres!$A$1:$I$89,3,0)*0.475*44/12</f>
        <v>9.8820018755376299E-2</v>
      </c>
      <c r="AX47" s="23">
        <f t="shared" si="6"/>
        <v>6.2582668788775848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19</v>
      </c>
      <c r="BD47" s="13">
        <f>IF('Données projet'!$A$88&gt;35,BD46+BC47-BL46,IF(A47&lt;'Données projet'!$A$88,$BA$205^A47,IF(A47='Données projet'!$A$88,'Données projet'!$B$88,BD46+BC47-BL46)))</f>
        <v>299.00000000000006</v>
      </c>
      <c r="BE47" s="14">
        <f>BD47*VLOOKUP('Données projet'!$B$11,Paramètres!$A$1:$I$89,3,0)*VLOOKUP('Données projet'!$B$11,Paramètres!$A$1:$I$89,5,0)</f>
        <v>178.80200000000002</v>
      </c>
      <c r="BF47" s="14">
        <f t="shared" si="37"/>
        <v>45.055549739375941</v>
      </c>
      <c r="BG47" s="22">
        <f t="shared" si="7"/>
        <v>389.88523246274644</v>
      </c>
      <c r="BH47" s="62">
        <f t="shared" si="8"/>
        <v>683.2185657960797</v>
      </c>
      <c r="BI47" s="62">
        <f ca="1">AVERAGE(OFFSET($BH$3,0,0,'Données projet'!$E$11+1,1))-AVERAGE(OFFSET($H$3,0,0,'Données projet'!$E$11+1,1))</f>
        <v>287.29865338866551</v>
      </c>
      <c r="BJ47" s="62">
        <f t="shared" si="38"/>
        <v>217.57508587672368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7.4305125242668764</v>
      </c>
      <c r="BR47" s="23">
        <f>EXP(-LN(2)/2)*BR46+(1-EXP(-LN(2)/2))/(LN(2)/2)*BL47*BO47*VLOOKUP('Données projet'!$B$11,Paramètres!$A$1:$I$89,3,0)*0.475*44/12</f>
        <v>0.10051707072265224</v>
      </c>
      <c r="BS47" s="24">
        <f t="shared" si="9"/>
        <v>7.531029594989529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18.714285714285715</v>
      </c>
      <c r="N48" s="14">
        <f>IF('Données projet'!$A$36&gt;35,N47+M48-V47,IF(A48&lt;'Données projet'!$A$36,$K$205^A48,IF(A48='Données projet'!$A$36,'Données projet'!$B$36,N47+M48-V47)))</f>
        <v>398.14285714285694</v>
      </c>
      <c r="O48" s="14">
        <f>N48*VLOOKUP('Données projet'!$B$9,Paramètres!$A$1:$I$89,3,0)*VLOOKUP('Données projet'!$B$9,Paramètres!$A$1:$I$89,5,0)</f>
        <v>222.56185714285704</v>
      </c>
      <c r="P48" s="14">
        <f t="shared" si="33"/>
        <v>54.671316974727738</v>
      </c>
      <c r="Q48" s="22">
        <f t="shared" si="53"/>
        <v>482.84777825479341</v>
      </c>
      <c r="R48" s="62">
        <f t="shared" si="0"/>
        <v>776.18111158812667</v>
      </c>
      <c r="S48" s="62">
        <f ca="1">AVERAGE(OFFSET($R$3,0,0,'Données projet'!$E$9+1,1))-AVERAGE(OFFSET($H$3,0,0,'Données projet'!$E$9+1,1))</f>
        <v>302.20483575440988</v>
      </c>
      <c r="T48" s="62">
        <f t="shared" si="34"/>
        <v>275.32862097158687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14.692339425302997</v>
      </c>
      <c r="AB48" s="23">
        <f>EXP(-LN(2)/2)*AB47+(1-EXP(-LN(2)/2))/(LN(2)/2)*V48*Y48*VLOOKUP('Données projet'!$B$9,Paramètres!$A$1:$I$89,3,0)*0.475*44/12</f>
        <v>6.0809973596815392E-2</v>
      </c>
      <c r="AC48" s="24">
        <f t="shared" si="3"/>
        <v>14.753149398899811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10.666666666666666</v>
      </c>
      <c r="AI48" s="14">
        <f>IF('Données projet'!$A$62&gt;35,AI47+AH48-AQ47,IF(A48&lt;'Données projet'!$A$62,$AF$205^A48,IF(A48='Données projet'!$A$62,'Données projet'!$B$62,AI47+AH48-AQ47)))</f>
        <v>220</v>
      </c>
      <c r="AJ48" s="14">
        <f>AI48*VLOOKUP('Données projet'!$B$10,Paramètres!$A$1:$I$89,3,0)*VLOOKUP('Données projet'!$B$10,Paramètres!$A$1:$I$89,5,0)</f>
        <v>137.28</v>
      </c>
      <c r="AK48" s="14">
        <f t="shared" si="35"/>
        <v>35.673181961873446</v>
      </c>
      <c r="AL48" s="22">
        <f t="shared" si="4"/>
        <v>301.22679191692959</v>
      </c>
      <c r="AM48" s="62">
        <f t="shared" si="5"/>
        <v>594.5601252502629</v>
      </c>
      <c r="AN48" s="62">
        <f ca="1">AVERAGE(OFFSET($AM$3,0,0,'Données projet'!$E$10+1,1))-AVERAGE(OFFSET($H$3,0,0,'Données projet'!$E$10+1,1))</f>
        <v>175.05987582828078</v>
      </c>
      <c r="AO48" s="62">
        <f t="shared" si="36"/>
        <v>268.54782308462387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5.9910164618209336</v>
      </c>
      <c r="AW48" s="23">
        <f>EXP(-LN(2)/2)*AW47+(1-EXP(-LN(2)/2))/(LN(2)/2)*AQ48*AT48*VLOOKUP('Données projet'!$B$10,Paramètres!$A$1:$I$89,3,0)*0.475*44/12</f>
        <v>6.987630537890839E-2</v>
      </c>
      <c r="AX48" s="23">
        <f t="shared" si="6"/>
        <v>6.0608927671998423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318</v>
      </c>
      <c r="BB48" s="13">
        <f>VLOOKUP(A48,'Données projet'!$A$87:$I$107,9,0)</f>
        <v>19</v>
      </c>
      <c r="BC48" s="13">
        <f t="array" ref="BC48">INDEX(BB:BB,MIN(IF(ISNUMBER(BB48:BB244),ROW(BB48:BB244),"")))</f>
        <v>19</v>
      </c>
      <c r="BD48" s="13">
        <f>IF('Données projet'!$A$88&gt;35,BD47+BC48-BL47,IF(A48&lt;'Données projet'!$A$88,$BA$205^A48,IF(A48='Données projet'!$A$88,'Données projet'!$B$88,BD47+BC48-BL47)))</f>
        <v>318.00000000000006</v>
      </c>
      <c r="BE48" s="14">
        <f>BD48*VLOOKUP('Données projet'!$B$11,Paramètres!$A$1:$I$89,3,0)*VLOOKUP('Données projet'!$B$11,Paramètres!$A$1:$I$89,5,0)</f>
        <v>190.16400000000004</v>
      </c>
      <c r="BF48" s="14">
        <f t="shared" si="37"/>
        <v>47.576209101852911</v>
      </c>
      <c r="BG48" s="22">
        <f t="shared" si="7"/>
        <v>414.06419751906054</v>
      </c>
      <c r="BH48" s="62">
        <f t="shared" si="8"/>
        <v>707.39753085239386</v>
      </c>
      <c r="BI48" s="62">
        <f ca="1">AVERAGE(OFFSET($BH$3,0,0,'Données projet'!$E$11+1,1))-AVERAGE(OFFSET($H$3,0,0,'Données projet'!$E$11+1,1))</f>
        <v>287.29865338866551</v>
      </c>
      <c r="BJ48" s="62">
        <f t="shared" si="38"/>
        <v>217.57508587672368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7.2273247685371276</v>
      </c>
      <c r="BR48" s="23">
        <f>EXP(-LN(2)/2)*BR47+(1-EXP(-LN(2)/2))/(LN(2)/2)*BL48*BO48*VLOOKUP('Données projet'!$B$11,Paramètres!$A$1:$I$89,3,0)*0.475*44/12</f>
        <v>7.1076302332995181E-2</v>
      </c>
      <c r="BS48" s="24">
        <f t="shared" si="9"/>
        <v>7.2984010708701224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18.714285714285715</v>
      </c>
      <c r="N49" s="14">
        <f>IF('Données projet'!$A$36&gt;35,N48+M49-V48,IF(A49&lt;'Données projet'!$A$36,$K$205^A49,IF(A49='Données projet'!$A$36,'Données projet'!$B$36,N48+M49-V48)))</f>
        <v>416.85714285714266</v>
      </c>
      <c r="O49" s="14">
        <f>N49*VLOOKUP('Données projet'!$B$9,Paramètres!$A$1:$I$89,3,0)*VLOOKUP('Données projet'!$B$9,Paramètres!$A$1:$I$89,5,0)</f>
        <v>233.02314285714277</v>
      </c>
      <c r="P49" s="14">
        <f t="shared" si="33"/>
        <v>56.935858075040223</v>
      </c>
      <c r="Q49" s="22">
        <f t="shared" si="53"/>
        <v>505.01192662355203</v>
      </c>
      <c r="R49" s="62">
        <f t="shared" si="0"/>
        <v>798.34525995688534</v>
      </c>
      <c r="S49" s="62">
        <f ca="1">AVERAGE(OFFSET($R$3,0,0,'Données projet'!$E$9+1,1))-AVERAGE(OFFSET($H$3,0,0,'Données projet'!$E$9+1,1))</f>
        <v>302.20483575440988</v>
      </c>
      <c r="T49" s="62">
        <f t="shared" si="34"/>
        <v>275.32862097158687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14.290576631081535</v>
      </c>
      <c r="AB49" s="23">
        <f>EXP(-LN(2)/2)*AB48+(1-EXP(-LN(2)/2))/(LN(2)/2)*V49*Y49*VLOOKUP('Données projet'!$B$9,Paramètres!$A$1:$I$89,3,0)*0.475*44/12</f>
        <v>4.2999144694083079E-2</v>
      </c>
      <c r="AC49" s="24">
        <f t="shared" si="3"/>
        <v>14.333575775775618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10.666666666666666</v>
      </c>
      <c r="AI49" s="14">
        <f>IF('Données projet'!$A$62&gt;35,AI48+AH49-AQ48,IF(A49&lt;'Données projet'!$A$62,$AF$205^A49,IF(A49='Données projet'!$A$62,'Données projet'!$B$62,AI48+AH49-AQ48)))</f>
        <v>230.66666666666666</v>
      </c>
      <c r="AJ49" s="14">
        <f>AI49*VLOOKUP('Données projet'!$B$10,Paramètres!$A$1:$I$89,3,0)*VLOOKUP('Données projet'!$B$10,Paramètres!$A$1:$I$89,5,0)</f>
        <v>143.93599999999998</v>
      </c>
      <c r="AK49" s="14">
        <f t="shared" si="35"/>
        <v>37.197227655019397</v>
      </c>
      <c r="AL49" s="22">
        <f t="shared" si="4"/>
        <v>315.47370483249205</v>
      </c>
      <c r="AM49" s="62">
        <f t="shared" si="5"/>
        <v>608.80703816582536</v>
      </c>
      <c r="AN49" s="62">
        <f ca="1">AVERAGE(OFFSET($AM$3,0,0,'Données projet'!$E$10+1,1))-AVERAGE(OFFSET($H$3,0,0,'Données projet'!$E$10+1,1))</f>
        <v>175.05987582828078</v>
      </c>
      <c r="AO49" s="62">
        <f t="shared" si="36"/>
        <v>268.54782308462387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5.8271918016185769</v>
      </c>
      <c r="AW49" s="23">
        <f>EXP(-LN(2)/2)*AW48+(1-EXP(-LN(2)/2))/(LN(2)/2)*AQ49*AT49*VLOOKUP('Données projet'!$B$10,Paramètres!$A$1:$I$89,3,0)*0.475*44/12</f>
        <v>4.9410009377688149E-2</v>
      </c>
      <c r="AX49" s="23">
        <f t="shared" si="6"/>
        <v>5.8766018109962648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282.40000000000003</v>
      </c>
      <c r="BE49" s="14">
        <f>BD49*VLOOKUP('Données projet'!$B$11,Paramètres!$A$1:$I$89,3,0)*VLOOKUP('Données projet'!$B$11,Paramètres!$A$1:$I$89,5,0)</f>
        <v>168.87520000000004</v>
      </c>
      <c r="BF49" s="14">
        <f t="shared" si="37"/>
        <v>42.838008554673955</v>
      </c>
      <c r="BG49" s="22">
        <f t="shared" si="7"/>
        <v>368.73383823272388</v>
      </c>
      <c r="BH49" s="62">
        <f t="shared" si="8"/>
        <v>662.06717156605714</v>
      </c>
      <c r="BI49" s="62">
        <f ca="1">AVERAGE(OFFSET($BH$3,0,0,'Données projet'!$E$11+1,1))-AVERAGE(OFFSET($H$3,0,0,'Données projet'!$E$11+1,1))</f>
        <v>287.29865338866551</v>
      </c>
      <c r="BJ49" s="62">
        <f t="shared" si="38"/>
        <v>217.57508587672368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7.0296931926729886</v>
      </c>
      <c r="BR49" s="23">
        <f>EXP(-LN(2)/2)*BR48+(1-EXP(-LN(2)/2))/(LN(2)/2)*BL49*BO49*VLOOKUP('Données projet'!$B$11,Paramètres!$A$1:$I$89,3,0)*0.475*44/12</f>
        <v>5.0258535361326122E-2</v>
      </c>
      <c r="BS49" s="24">
        <f t="shared" si="9"/>
        <v>7.0799517280343149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18.714285714285715</v>
      </c>
      <c r="N50" s="14">
        <f>IF('Données projet'!$A$36&gt;35,N49+M50-V49,IF(A50&lt;'Données projet'!$A$36,$K$205^A50,IF(A50='Données projet'!$A$36,'Données projet'!$B$36,N49+M50-V49)))</f>
        <v>435.57142857142838</v>
      </c>
      <c r="O50" s="14">
        <f>N50*VLOOKUP('Données projet'!$B$9,Paramètres!$A$1:$I$89,3,0)*VLOOKUP('Données projet'!$B$9,Paramètres!$A$1:$I$89,5,0)</f>
        <v>243.48442857142848</v>
      </c>
      <c r="P50" s="14">
        <f t="shared" si="33"/>
        <v>59.188592189821975</v>
      </c>
      <c r="Q50" s="22">
        <f t="shared" si="53"/>
        <v>527.15551115917788</v>
      </c>
      <c r="R50" s="62">
        <f t="shared" si="0"/>
        <v>820.48884449251113</v>
      </c>
      <c r="S50" s="62">
        <f ca="1">AVERAGE(OFFSET($R$3,0,0,'Données projet'!$E$9+1,1))-AVERAGE(OFFSET($H$3,0,0,'Données projet'!$E$9+1,1))</f>
        <v>302.20483575440988</v>
      </c>
      <c r="T50" s="62">
        <f t="shared" si="34"/>
        <v>275.32862097158687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13.899800061595847</v>
      </c>
      <c r="AB50" s="23">
        <f>EXP(-LN(2)/2)*AB49+(1-EXP(-LN(2)/2))/(LN(2)/2)*V50*Y50*VLOOKUP('Données projet'!$B$9,Paramètres!$A$1:$I$89,3,0)*0.475*44/12</f>
        <v>3.0404986798407703E-2</v>
      </c>
      <c r="AC50" s="24">
        <f t="shared" si="3"/>
        <v>13.930205048394255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10.666666666666666</v>
      </c>
      <c r="AI50" s="14">
        <f>IF('Données projet'!$A$62&gt;35,AI49+AH50-AQ49,IF(A50&lt;'Données projet'!$A$62,$AF$205^A50,IF(A50='Données projet'!$A$62,'Données projet'!$B$62,AI49+AH50-AQ49)))</f>
        <v>241.33333333333331</v>
      </c>
      <c r="AJ50" s="14">
        <f>AI50*VLOOKUP('Données projet'!$B$10,Paramètres!$A$1:$I$89,3,0)*VLOOKUP('Données projet'!$B$10,Paramètres!$A$1:$I$89,5,0)</f>
        <v>150.59199999999998</v>
      </c>
      <c r="AK50" s="14">
        <f t="shared" si="35"/>
        <v>38.713088888505631</v>
      </c>
      <c r="AL50" s="22">
        <f t="shared" si="4"/>
        <v>329.70636314748066</v>
      </c>
      <c r="AM50" s="62">
        <f t="shared" si="5"/>
        <v>623.03969648081397</v>
      </c>
      <c r="AN50" s="62">
        <f ca="1">AVERAGE(OFFSET($AM$3,0,0,'Données projet'!$E$10+1,1))-AVERAGE(OFFSET($H$3,0,0,'Données projet'!$E$10+1,1))</f>
        <v>175.05987582828078</v>
      </c>
      <c r="AO50" s="62">
        <f t="shared" si="36"/>
        <v>268.54782308462387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5.6678469353646186</v>
      </c>
      <c r="AW50" s="23">
        <f>EXP(-LN(2)/2)*AW49+(1-EXP(-LN(2)/2))/(LN(2)/2)*AQ50*AT50*VLOOKUP('Données projet'!$B$10,Paramètres!$A$1:$I$89,3,0)*0.475*44/12</f>
        <v>3.4938152689454195E-2</v>
      </c>
      <c r="AX50" s="23">
        <f t="shared" si="6"/>
        <v>5.7027850880540729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299.8</v>
      </c>
      <c r="BE50" s="14">
        <f>BD50*VLOOKUP('Données projet'!$B$11,Paramètres!$A$1:$I$89,3,0)*VLOOKUP('Données projet'!$B$11,Paramètres!$A$1:$I$89,5,0)</f>
        <v>179.28040000000001</v>
      </c>
      <c r="BF50" s="14">
        <f t="shared" si="37"/>
        <v>45.162051118824294</v>
      </c>
      <c r="BG50" s="22">
        <f t="shared" si="7"/>
        <v>390.90393569861902</v>
      </c>
      <c r="BH50" s="62">
        <f t="shared" si="8"/>
        <v>684.23726903195234</v>
      </c>
      <c r="BI50" s="62">
        <f ca="1">AVERAGE(OFFSET($BH$3,0,0,'Données projet'!$E$11+1,1))-AVERAGE(OFFSET($H$3,0,0,'Données projet'!$E$11+1,1))</f>
        <v>287.29865338866551</v>
      </c>
      <c r="BJ50" s="62">
        <f t="shared" si="38"/>
        <v>217.57508587672368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6.8374658626438469</v>
      </c>
      <c r="BR50" s="23">
        <f>EXP(-LN(2)/2)*BR49+(1-EXP(-LN(2)/2))/(LN(2)/2)*BL50*BO50*VLOOKUP('Données projet'!$B$11,Paramètres!$A$1:$I$89,3,0)*0.475*44/12</f>
        <v>3.553815116649759E-2</v>
      </c>
      <c r="BS50" s="24">
        <f t="shared" si="9"/>
        <v>6.8730040138103448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18.714285714285715</v>
      </c>
      <c r="N51" s="14">
        <f>IF('Données projet'!$A$36&gt;35,N50+M51-V50,IF(A51&lt;'Données projet'!$A$36,$K$205^A51,IF(A51='Données projet'!$A$36,'Données projet'!$B$36,N50+M51-V50)))</f>
        <v>454.28571428571411</v>
      </c>
      <c r="O51" s="14">
        <f>N51*VLOOKUP('Données projet'!$B$9,Paramètres!$A$1:$I$89,3,0)*VLOOKUP('Données projet'!$B$9,Paramètres!$A$1:$I$89,5,0)</f>
        <v>253.94571428571419</v>
      </c>
      <c r="P51" s="14">
        <f t="shared" si="33"/>
        <v>61.430084594341928</v>
      </c>
      <c r="Q51" s="22">
        <f t="shared" si="53"/>
        <v>549.27951638276431</v>
      </c>
      <c r="R51" s="62">
        <f t="shared" si="0"/>
        <v>842.61284971609757</v>
      </c>
      <c r="S51" s="62">
        <f ca="1">AVERAGE(OFFSET($R$3,0,0,'Données projet'!$E$9+1,1))-AVERAGE(OFFSET($H$3,0,0,'Données projet'!$E$9+1,1))</f>
        <v>302.20483575440988</v>
      </c>
      <c r="T51" s="62">
        <f t="shared" si="34"/>
        <v>275.32862097158687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13.519709297952792</v>
      </c>
      <c r="AB51" s="23">
        <f>EXP(-LN(2)/2)*AB50+(1-EXP(-LN(2)/2))/(LN(2)/2)*V51*Y51*VLOOKUP('Données projet'!$B$9,Paramètres!$A$1:$I$89,3,0)*0.475*44/12</f>
        <v>2.1499572347041543E-2</v>
      </c>
      <c r="AC51" s="24">
        <f t="shared" si="3"/>
        <v>13.541208870299833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252</v>
      </c>
      <c r="AG51" s="13">
        <f>VLOOKUP(A51,'Données projet'!$A$61:$I$81,9,0)</f>
        <v>10.666666666666666</v>
      </c>
      <c r="AH51" s="13">
        <f t="array" ref="AH51">INDEX(AG:AG,MIN(IF(ISNUMBER(AG51:AG247),ROW(AG51:AG247),"")))</f>
        <v>10.666666666666666</v>
      </c>
      <c r="AI51" s="14">
        <f>IF('Données projet'!$A$62&gt;35,AI50+AH51-AQ50,IF(A51&lt;'Données projet'!$A$62,$AF$205^A51,IF(A51='Données projet'!$A$62,'Données projet'!$B$62,AI50+AH51-AQ50)))</f>
        <v>251.99999999999997</v>
      </c>
      <c r="AJ51" s="14">
        <f>AI51*VLOOKUP('Données projet'!$B$10,Paramètres!$A$1:$I$89,3,0)*VLOOKUP('Données projet'!$B$10,Paramètres!$A$1:$I$89,5,0)</f>
        <v>157.24799999999999</v>
      </c>
      <c r="AK51" s="14">
        <f t="shared" si="35"/>
        <v>40.22116874434861</v>
      </c>
      <c r="AL51" s="22">
        <f t="shared" si="4"/>
        <v>343.92546889640715</v>
      </c>
      <c r="AM51" s="62">
        <f t="shared" si="5"/>
        <v>637.25880222974047</v>
      </c>
      <c r="AN51" s="62">
        <f ca="1">AVERAGE(OFFSET($AM$3,0,0,'Données projet'!$E$10+1,1))-AVERAGE(OFFSET($H$3,0,0,'Données projet'!$E$10+1,1))</f>
        <v>175.05987582828078</v>
      </c>
      <c r="AO51" s="62">
        <f t="shared" si="36"/>
        <v>268.54782308462387</v>
      </c>
      <c r="AP51" s="16">
        <f>IF(ISNA(VLOOKUP(A51,'Données projet'!$A$61:$I$81,3,0)),0,VLOOKUP(A51,'Données projet'!$A$61:$I$81,3,0))</f>
        <v>7</v>
      </c>
      <c r="AQ51" s="16">
        <f>IF(ISNA(VLOOKUP(A51,'Données projet'!$A$61:$I$81,4,0)),0,VLOOKUP(A51,'Données projet'!$A$61:$I$81,4,0))</f>
        <v>65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5.5128593628579567</v>
      </c>
      <c r="AW51" s="23">
        <f>EXP(-LN(2)/2)*AW50+(1-EXP(-LN(2)/2))/(LN(2)/2)*AQ51*AT51*VLOOKUP('Données projet'!$B$10,Paramètres!$A$1:$I$89,3,0)*0.475*44/12</f>
        <v>2.4705004688844075E-2</v>
      </c>
      <c r="AX51" s="23">
        <f t="shared" si="6"/>
        <v>5.5375643675468007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317.2</v>
      </c>
      <c r="BE51" s="14">
        <f>BD51*VLOOKUP('Données projet'!$B$11,Paramètres!$A$1:$I$89,3,0)*VLOOKUP('Données projet'!$B$11,Paramètres!$A$1:$I$89,5,0)</f>
        <v>189.68560000000002</v>
      </c>
      <c r="BF51" s="14">
        <f t="shared" si="37"/>
        <v>47.470436776872745</v>
      </c>
      <c r="BG51" s="22">
        <f t="shared" si="7"/>
        <v>413.04676405305344</v>
      </c>
      <c r="BH51" s="62">
        <f t="shared" si="8"/>
        <v>706.38009738638675</v>
      </c>
      <c r="BI51" s="62">
        <f ca="1">AVERAGE(OFFSET($BH$3,0,0,'Données projet'!$E$11+1,1))-AVERAGE(OFFSET($H$3,0,0,'Données projet'!$E$11+1,1))</f>
        <v>287.29865338866551</v>
      </c>
      <c r="BJ51" s="62">
        <f t="shared" si="38"/>
        <v>217.57508587672368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6.6504949990631488</v>
      </c>
      <c r="BR51" s="23">
        <f>EXP(-LN(2)/2)*BR50+(1-EXP(-LN(2)/2))/(LN(2)/2)*BL51*BO51*VLOOKUP('Données projet'!$B$11,Paramètres!$A$1:$I$89,3,0)*0.475*44/12</f>
        <v>2.5129267680663061E-2</v>
      </c>
      <c r="BS51" s="24">
        <f t="shared" si="9"/>
        <v>6.6756242667438119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473</v>
      </c>
      <c r="L52" s="13">
        <f>VLOOKUP(A52,'Données projet'!$A$35:$I$55,9,0)</f>
        <v>18.714285714285715</v>
      </c>
      <c r="M52" s="13">
        <f t="array" ref="M52">INDEX(L:L,MIN(IF(ISNUMBER(L52:L248),ROW(L52:L248),"")))</f>
        <v>18.714285714285715</v>
      </c>
      <c r="N52" s="14">
        <f>IF('Données projet'!$A$36&gt;35,N51+M52-V51,IF(A52&lt;'Données projet'!$A$36,$K$205^A52,IF(A52='Données projet'!$A$36,'Données projet'!$B$36,N51+M52-V51)))</f>
        <v>472.99999999999983</v>
      </c>
      <c r="O52" s="14">
        <f>N52*VLOOKUP('Données projet'!$B$9,Paramètres!$A$1:$I$89,3,0)*VLOOKUP('Données projet'!$B$9,Paramètres!$A$1:$I$89,5,0)</f>
        <v>264.40699999999993</v>
      </c>
      <c r="P52" s="14">
        <f t="shared" si="33"/>
        <v>63.660851355620842</v>
      </c>
      <c r="Q52" s="22">
        <f t="shared" si="53"/>
        <v>571.38484111103946</v>
      </c>
      <c r="R52" s="62">
        <f t="shared" si="0"/>
        <v>864.71817444437283</v>
      </c>
      <c r="S52" s="62">
        <f ca="1">AVERAGE(OFFSET($R$3,0,0,'Données projet'!$E$9+1,1))-AVERAGE(OFFSET($H$3,0,0,'Données projet'!$E$9+1,1))</f>
        <v>302.20483575440988</v>
      </c>
      <c r="T52" s="62">
        <f t="shared" si="34"/>
        <v>275.32862097158687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80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13.150012136229661</v>
      </c>
      <c r="AB52" s="23">
        <f>EXP(-LN(2)/2)*AB51+(1-EXP(-LN(2)/2))/(LN(2)/2)*V52*Y52*VLOOKUP('Données projet'!$B$9,Paramètres!$A$1:$I$89,3,0)*0.475*44/12</f>
        <v>1.5202493399203853E-2</v>
      </c>
      <c r="AC52" s="24">
        <f t="shared" si="3"/>
        <v>13.165214629628865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9.75</v>
      </c>
      <c r="AI52" s="14">
        <f>IF('Données projet'!$A$62&gt;35,AI51+AH52-AQ51,IF(A52&lt;'Données projet'!$A$62,$AF$205^A52,IF(A52='Données projet'!$A$62,'Données projet'!$B$62,AI51+AH52-AQ51)))</f>
        <v>196.75</v>
      </c>
      <c r="AJ52" s="14">
        <f>AI52*VLOOKUP('Données projet'!$B$10,Paramètres!$A$1:$I$89,3,0)*VLOOKUP('Données projet'!$B$10,Paramètres!$A$1:$I$89,5,0)</f>
        <v>122.77200000000001</v>
      </c>
      <c r="AK52" s="14">
        <f t="shared" si="35"/>
        <v>32.320660955470466</v>
      </c>
      <c r="AL52" s="22">
        <f t="shared" si="4"/>
        <v>270.11971783077774</v>
      </c>
      <c r="AM52" s="62">
        <f t="shared" si="5"/>
        <v>563.453051164111</v>
      </c>
      <c r="AN52" s="62">
        <f ca="1">AVERAGE(OFFSET($AM$3,0,0,'Données projet'!$E$10+1,1))-AVERAGE(OFFSET($H$3,0,0,'Données projet'!$E$10+1,1))</f>
        <v>175.05987582828078</v>
      </c>
      <c r="AO52" s="62">
        <f t="shared" si="36"/>
        <v>268.54782308462387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5.362109933671932</v>
      </c>
      <c r="AW52" s="23">
        <f>EXP(-LN(2)/2)*AW51+(1-EXP(-LN(2)/2))/(LN(2)/2)*AQ52*AT52*VLOOKUP('Données projet'!$B$10,Paramètres!$A$1:$I$89,3,0)*0.475*44/12</f>
        <v>1.7469076344727098E-2</v>
      </c>
      <c r="AX52" s="23">
        <f t="shared" si="6"/>
        <v>5.3795790100166592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334.59999999999997</v>
      </c>
      <c r="BE52" s="14">
        <f>BD52*VLOOKUP('Données projet'!$B$11,Paramètres!$A$1:$I$89,3,0)*VLOOKUP('Données projet'!$B$11,Paramètres!$A$1:$I$89,5,0)</f>
        <v>200.0908</v>
      </c>
      <c r="BF52" s="14">
        <f t="shared" si="37"/>
        <v>49.764122289960234</v>
      </c>
      <c r="BG52" s="22">
        <f t="shared" si="7"/>
        <v>435.16398965501406</v>
      </c>
      <c r="BH52" s="62">
        <f t="shared" si="8"/>
        <v>728.49732298834738</v>
      </c>
      <c r="BI52" s="62">
        <f ca="1">AVERAGE(OFFSET($BH$3,0,0,'Données projet'!$E$11+1,1))-AVERAGE(OFFSET($H$3,0,0,'Données projet'!$E$11+1,1))</f>
        <v>287.29865338866551</v>
      </c>
      <c r="BJ52" s="62">
        <f t="shared" si="38"/>
        <v>217.57508587672368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6.4686368635794347</v>
      </c>
      <c r="BR52" s="23">
        <f>EXP(-LN(2)/2)*BR51+(1-EXP(-LN(2)/2))/(LN(2)/2)*BL52*BO52*VLOOKUP('Données projet'!$B$11,Paramètres!$A$1:$I$89,3,0)*0.475*44/12</f>
        <v>1.7769075583248795E-2</v>
      </c>
      <c r="BS52" s="24">
        <f t="shared" si="9"/>
        <v>6.4864059391626832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17.285714285714285</v>
      </c>
      <c r="N53" s="14">
        <f>IF('Données projet'!$A$36&gt;35,N52+M53-V52,IF(A53&lt;'Données projet'!$A$36,$K$205^A53,IF(A53='Données projet'!$A$36,'Données projet'!$B$36,N52+M53-V52)))</f>
        <v>410.28571428571411</v>
      </c>
      <c r="O53" s="14">
        <f>N53*VLOOKUP('Données projet'!$B$9,Paramètres!$A$1:$I$89,3,0)*VLOOKUP('Données projet'!$B$9,Paramètres!$A$1:$I$89,5,0)</f>
        <v>229.34971428571419</v>
      </c>
      <c r="P53" s="14">
        <f t="shared" si="33"/>
        <v>56.142051394693567</v>
      </c>
      <c r="Q53" s="22">
        <f t="shared" si="53"/>
        <v>497.23149189337681</v>
      </c>
      <c r="R53" s="62">
        <f t="shared" si="0"/>
        <v>790.56482522671013</v>
      </c>
      <c r="S53" s="62">
        <f ca="1">AVERAGE(OFFSET($R$3,0,0,'Données projet'!$E$9+1,1))-AVERAGE(OFFSET($H$3,0,0,'Données projet'!$E$9+1,1))</f>
        <v>302.20483575440988</v>
      </c>
      <c r="T53" s="62">
        <f t="shared" si="34"/>
        <v>275.32862097158687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12.790424362835378</v>
      </c>
      <c r="AB53" s="23">
        <f>EXP(-LN(2)/2)*AB52+(1-EXP(-LN(2)/2))/(LN(2)/2)*V53*Y53*VLOOKUP('Données projet'!$B$9,Paramètres!$A$1:$I$89,3,0)*0.475*44/12</f>
        <v>1.0749786173520773E-2</v>
      </c>
      <c r="AC53" s="24">
        <f t="shared" si="3"/>
        <v>12.801174149008899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9.75</v>
      </c>
      <c r="AI53" s="14">
        <f>IF('Données projet'!$A$62&gt;35,AI52+AH53-AQ52,IF(A53&lt;'Données projet'!$A$62,$AF$205^A53,IF(A53='Données projet'!$A$62,'Données projet'!$B$62,AI52+AH53-AQ52)))</f>
        <v>206.5</v>
      </c>
      <c r="AJ53" s="14">
        <f>AI53*VLOOKUP('Données projet'!$B$10,Paramètres!$A$1:$I$89,3,0)*VLOOKUP('Données projet'!$B$10,Paramètres!$A$1:$I$89,5,0)</f>
        <v>128.85599999999999</v>
      </c>
      <c r="AK53" s="14">
        <f t="shared" si="35"/>
        <v>33.731878688740906</v>
      </c>
      <c r="AL53" s="22">
        <f t="shared" si="4"/>
        <v>283.1738887162237</v>
      </c>
      <c r="AM53" s="62">
        <f t="shared" si="5"/>
        <v>576.50722204955696</v>
      </c>
      <c r="AN53" s="62">
        <f ca="1">AVERAGE(OFFSET($AM$3,0,0,'Données projet'!$E$10+1,1))-AVERAGE(OFFSET($H$3,0,0,'Données projet'!$E$10+1,1))</f>
        <v>175.05987582828078</v>
      </c>
      <c r="AO53" s="62">
        <f t="shared" si="36"/>
        <v>268.54782308462387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5.2154827555545671</v>
      </c>
      <c r="AW53" s="23">
        <f>EXP(-LN(2)/2)*AW52+(1-EXP(-LN(2)/2))/(LN(2)/2)*AQ53*AT53*VLOOKUP('Données projet'!$B$10,Paramètres!$A$1:$I$89,3,0)*0.475*44/12</f>
        <v>1.2352502344422037E-2</v>
      </c>
      <c r="AX53" s="23">
        <f t="shared" si="6"/>
        <v>5.2278352578989891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352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351.99999999999994</v>
      </c>
      <c r="BE53" s="14">
        <f>BD53*VLOOKUP('Données projet'!$B$11,Paramètres!$A$1:$I$89,3,0)*VLOOKUP('Données projet'!$B$11,Paramètres!$A$1:$I$89,5,0)</f>
        <v>210.49599999999998</v>
      </c>
      <c r="BF53" s="14">
        <f t="shared" si="37"/>
        <v>52.043959291168463</v>
      </c>
      <c r="BG53" s="22">
        <f t="shared" si="7"/>
        <v>457.25709576545165</v>
      </c>
      <c r="BH53" s="62">
        <f t="shared" si="8"/>
        <v>750.59042909878497</v>
      </c>
      <c r="BI53" s="62">
        <f ca="1">AVERAGE(OFFSET($BH$3,0,0,'Données projet'!$E$11+1,1))-AVERAGE(OFFSET($H$3,0,0,'Données projet'!$E$11+1,1))</f>
        <v>287.29865338866551</v>
      </c>
      <c r="BJ53" s="62">
        <f t="shared" si="38"/>
        <v>217.57508587672368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6.291751648374027</v>
      </c>
      <c r="BR53" s="23">
        <f>EXP(-LN(2)/2)*BR52+(1-EXP(-LN(2)/2))/(LN(2)/2)*BL53*BO53*VLOOKUP('Données projet'!$B$11,Paramètres!$A$1:$I$89,3,0)*0.475*44/12</f>
        <v>1.256463384033153E-2</v>
      </c>
      <c r="BS53" s="24">
        <f t="shared" si="9"/>
        <v>6.3043162822143586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17.285714285714285</v>
      </c>
      <c r="N54" s="14">
        <f>IF('Données projet'!$A$36&gt;35,N53+M54-V53,IF(A54&lt;'Données projet'!$A$36,$K$205^A54,IF(A54='Données projet'!$A$36,'Données projet'!$B$36,N53+M54-V53)))</f>
        <v>427.57142857142838</v>
      </c>
      <c r="O54" s="14">
        <f>N54*VLOOKUP('Données projet'!$B$9,Paramètres!$A$1:$I$89,3,0)*VLOOKUP('Données projet'!$B$9,Paramètres!$A$1:$I$89,5,0)</f>
        <v>239.01242857142847</v>
      </c>
      <c r="P54" s="14">
        <f t="shared" si="33"/>
        <v>58.226998714225545</v>
      </c>
      <c r="Q54" s="22">
        <f t="shared" si="53"/>
        <v>517.69200252251403</v>
      </c>
      <c r="R54" s="62">
        <f t="shared" si="0"/>
        <v>811.02533585584729</v>
      </c>
      <c r="S54" s="62">
        <f ca="1">AVERAGE(OFFSET($R$3,0,0,'Données projet'!$E$9+1,1))-AVERAGE(OFFSET($H$3,0,0,'Données projet'!$E$9+1,1))</f>
        <v>302.20483575440988</v>
      </c>
      <c r="T54" s="62">
        <f t="shared" si="34"/>
        <v>275.32862097158687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12.440669536014459</v>
      </c>
      <c r="AB54" s="23">
        <f>EXP(-LN(2)/2)*AB53+(1-EXP(-LN(2)/2))/(LN(2)/2)*V54*Y54*VLOOKUP('Données projet'!$B$9,Paramètres!$A$1:$I$89,3,0)*0.475*44/12</f>
        <v>7.6012466996019275E-3</v>
      </c>
      <c r="AC54" s="24">
        <f t="shared" si="3"/>
        <v>12.448270782714062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9.75</v>
      </c>
      <c r="AI54" s="14">
        <f>IF('Données projet'!$A$62&gt;35,AI53+AH54-AQ53,IF(A54&lt;'Données projet'!$A$62,$AF$205^A54,IF(A54='Données projet'!$A$62,'Données projet'!$B$62,AI53+AH54-AQ53)))</f>
        <v>216.25</v>
      </c>
      <c r="AJ54" s="14">
        <f>AI54*VLOOKUP('Données projet'!$B$10,Paramètres!$A$1:$I$89,3,0)*VLOOKUP('Données projet'!$B$10,Paramètres!$A$1:$I$89,5,0)</f>
        <v>134.94</v>
      </c>
      <c r="AK54" s="14">
        <f t="shared" si="35"/>
        <v>35.135358771568036</v>
      </c>
      <c r="AL54" s="22">
        <f t="shared" si="4"/>
        <v>296.21458319381429</v>
      </c>
      <c r="AM54" s="62">
        <f t="shared" si="5"/>
        <v>589.54791652714766</v>
      </c>
      <c r="AN54" s="62">
        <f ca="1">AVERAGE(OFFSET($AM$3,0,0,'Données projet'!$E$10+1,1))-AVERAGE(OFFSET($H$3,0,0,'Données projet'!$E$10+1,1))</f>
        <v>175.05987582828078</v>
      </c>
      <c r="AO54" s="62">
        <f t="shared" si="36"/>
        <v>268.54782308462387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5.0728651053336096</v>
      </c>
      <c r="AW54" s="23">
        <f>EXP(-LN(2)/2)*AW53+(1-EXP(-LN(2)/2))/(LN(2)/2)*AQ54*AT54*VLOOKUP('Données projet'!$B$10,Paramètres!$A$1:$I$89,3,0)*0.475*44/12</f>
        <v>8.7345381723635488E-3</v>
      </c>
      <c r="AX54" s="23">
        <f t="shared" si="6"/>
        <v>5.0815996435059727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316.62499999999994</v>
      </c>
      <c r="BE54" s="14">
        <f>BD54*VLOOKUP('Données projet'!$B$11,Paramètres!$A$1:$I$89,3,0)*VLOOKUP('Données projet'!$B$11,Paramètres!$A$1:$I$89,5,0)</f>
        <v>189.34174999999999</v>
      </c>
      <c r="BF54" s="14">
        <f t="shared" si="37"/>
        <v>47.394393740797923</v>
      </c>
      <c r="BG54" s="22">
        <f t="shared" si="7"/>
        <v>412.31545034855634</v>
      </c>
      <c r="BH54" s="62">
        <f t="shared" si="8"/>
        <v>705.64878368188965</v>
      </c>
      <c r="BI54" s="62">
        <f ca="1">AVERAGE(OFFSET($BH$3,0,0,'Données projet'!$E$11+1,1))-AVERAGE(OFFSET($H$3,0,0,'Données projet'!$E$11+1,1))</f>
        <v>287.29865338866551</v>
      </c>
      <c r="BJ54" s="62">
        <f t="shared" si="38"/>
        <v>217.57508587672368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6.1197033686804003</v>
      </c>
      <c r="BR54" s="23">
        <f>EXP(-LN(2)/2)*BR53+(1-EXP(-LN(2)/2))/(LN(2)/2)*BL54*BO54*VLOOKUP('Données projet'!$B$11,Paramètres!$A$1:$I$89,3,0)*0.475*44/12</f>
        <v>8.8845377916243976E-3</v>
      </c>
      <c r="BS54" s="24">
        <f t="shared" si="9"/>
        <v>6.128587906472025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17.285714285714285</v>
      </c>
      <c r="N55" s="14">
        <f>IF('Données projet'!$A$36&gt;35,N54+M55-V54,IF(A55&lt;'Données projet'!$A$36,$K$205^A55,IF(A55='Données projet'!$A$36,'Données projet'!$B$36,N54+M55-V54)))</f>
        <v>444.85714285714266</v>
      </c>
      <c r="O55" s="14">
        <f>N55*VLOOKUP('Données projet'!$B$9,Paramètres!$A$1:$I$89,3,0)*VLOOKUP('Données projet'!$B$9,Paramètres!$A$1:$I$89,5,0)</f>
        <v>248.67514285714276</v>
      </c>
      <c r="P55" s="14">
        <f t="shared" si="33"/>
        <v>60.30215496200401</v>
      </c>
      <c r="Q55" s="22">
        <f t="shared" si="53"/>
        <v>538.13546036834725</v>
      </c>
      <c r="R55" s="62">
        <f t="shared" si="0"/>
        <v>831.46879370168062</v>
      </c>
      <c r="S55" s="62">
        <f ca="1">AVERAGE(OFFSET($R$3,0,0,'Données projet'!$E$9+1,1))-AVERAGE(OFFSET($H$3,0,0,'Données projet'!$E$9+1,1))</f>
        <v>302.20483575440988</v>
      </c>
      <c r="T55" s="62">
        <f t="shared" si="34"/>
        <v>275.32862097158687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12.100478773325767</v>
      </c>
      <c r="AB55" s="23">
        <f>EXP(-LN(2)/2)*AB54+(1-EXP(-LN(2)/2))/(LN(2)/2)*V55*Y55*VLOOKUP('Données projet'!$B$9,Paramètres!$A$1:$I$89,3,0)*0.475*44/12</f>
        <v>5.3748930867603874E-3</v>
      </c>
      <c r="AC55" s="24">
        <f t="shared" si="3"/>
        <v>12.105853666412527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9.75</v>
      </c>
      <c r="AI55" s="14">
        <f>IF('Données projet'!$A$62&gt;35,AI54+AH55-AQ54,IF(A55&lt;'Données projet'!$A$62,$AF$205^A55,IF(A55='Données projet'!$A$62,'Données projet'!$B$62,AI54+AH55-AQ54)))</f>
        <v>226</v>
      </c>
      <c r="AJ55" s="14">
        <f>AI55*VLOOKUP('Données projet'!$B$10,Paramètres!$A$1:$I$89,3,0)*VLOOKUP('Données projet'!$B$10,Paramètres!$A$1:$I$89,5,0)</f>
        <v>141.024</v>
      </c>
      <c r="AK55" s="14">
        <f t="shared" si="35"/>
        <v>36.531489925882461</v>
      </c>
      <c r="AL55" s="22">
        <f t="shared" si="4"/>
        <v>309.24247828757859</v>
      </c>
      <c r="AM55" s="62">
        <f t="shared" si="5"/>
        <v>602.57581162091196</v>
      </c>
      <c r="AN55" s="62">
        <f ca="1">AVERAGE(OFFSET($AM$3,0,0,'Données projet'!$E$10+1,1))-AVERAGE(OFFSET($H$3,0,0,'Données projet'!$E$10+1,1))</f>
        <v>175.05987582828078</v>
      </c>
      <c r="AO55" s="62">
        <f t="shared" si="36"/>
        <v>268.54782308462387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4.9341473422578801</v>
      </c>
      <c r="AW55" s="23">
        <f>EXP(-LN(2)/2)*AW54+(1-EXP(-LN(2)/2))/(LN(2)/2)*AQ55*AT55*VLOOKUP('Données projet'!$B$10,Paramètres!$A$1:$I$89,3,0)*0.475*44/12</f>
        <v>6.1762511722110187E-3</v>
      </c>
      <c r="AX55" s="23">
        <f t="shared" si="6"/>
        <v>4.9403235934300911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334.24999999999994</v>
      </c>
      <c r="BE55" s="14">
        <f>BD55*VLOOKUP('Données projet'!$B$11,Paramètres!$A$1:$I$89,3,0)*VLOOKUP('Données projet'!$B$11,Paramètres!$A$1:$I$89,5,0)</f>
        <v>199.88149999999996</v>
      </c>
      <c r="BF55" s="14">
        <f t="shared" si="37"/>
        <v>49.71812411377941</v>
      </c>
      <c r="BG55" s="22">
        <f t="shared" si="7"/>
        <v>434.71934533149914</v>
      </c>
      <c r="BH55" s="62">
        <f t="shared" si="8"/>
        <v>728.05267866483246</v>
      </c>
      <c r="BI55" s="62">
        <f ca="1">AVERAGE(OFFSET($BH$3,0,0,'Données projet'!$E$11+1,1))-AVERAGE(OFFSET($H$3,0,0,'Données projet'!$E$11+1,1))</f>
        <v>287.29865338866551</v>
      </c>
      <c r="BJ55" s="62">
        <f t="shared" si="38"/>
        <v>217.57508587672368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5.9523597582426211</v>
      </c>
      <c r="BR55" s="23">
        <f>EXP(-LN(2)/2)*BR54+(1-EXP(-LN(2)/2))/(LN(2)/2)*BL55*BO55*VLOOKUP('Données projet'!$B$11,Paramètres!$A$1:$I$89,3,0)*0.475*44/12</f>
        <v>6.2823169201657652E-3</v>
      </c>
      <c r="BS55" s="24">
        <f t="shared" si="9"/>
        <v>5.9586420751627864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17.285714285714285</v>
      </c>
      <c r="N56" s="14">
        <f>IF('Données projet'!$A$36&gt;35,N55+M56-V55,IF(A56&lt;'Données projet'!$A$36,$K$205^A56,IF(A56='Données projet'!$A$36,'Données projet'!$B$36,N55+M56-V55)))</f>
        <v>462.14285714285694</v>
      </c>
      <c r="O56" s="14">
        <f>N56*VLOOKUP('Données projet'!$B$9,Paramètres!$A$1:$I$89,3,0)*VLOOKUP('Données projet'!$B$9,Paramètres!$A$1:$I$89,5,0)</f>
        <v>258.33785714285705</v>
      </c>
      <c r="P56" s="14">
        <f t="shared" si="33"/>
        <v>62.367944130057822</v>
      </c>
      <c r="Q56" s="22">
        <f t="shared" si="53"/>
        <v>558.56260388366002</v>
      </c>
      <c r="R56" s="62">
        <f t="shared" si="0"/>
        <v>851.89593721699339</v>
      </c>
      <c r="S56" s="62">
        <f ca="1">AVERAGE(OFFSET($R$3,0,0,'Données projet'!$E$9+1,1))-AVERAGE(OFFSET($H$3,0,0,'Données projet'!$E$9+1,1))</f>
        <v>302.20483575440988</v>
      </c>
      <c r="T56" s="62">
        <f t="shared" si="34"/>
        <v>275.32862097158687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11.769590544932651</v>
      </c>
      <c r="AB56" s="23">
        <f>EXP(-LN(2)/2)*AB55+(1-EXP(-LN(2)/2))/(LN(2)/2)*V56*Y56*VLOOKUP('Données projet'!$B$9,Paramètres!$A$1:$I$89,3,0)*0.475*44/12</f>
        <v>3.8006233498009646E-3</v>
      </c>
      <c r="AC56" s="24">
        <f t="shared" si="3"/>
        <v>11.773391168282451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9.75</v>
      </c>
      <c r="AI56" s="14">
        <f>IF('Données projet'!$A$62&gt;35,AI55+AH56-AQ55,IF(A56&lt;'Données projet'!$A$62,$AF$205^A56,IF(A56='Données projet'!$A$62,'Données projet'!$B$62,AI55+AH56-AQ55)))</f>
        <v>235.75</v>
      </c>
      <c r="AJ56" s="14">
        <f>AI56*VLOOKUP('Données projet'!$B$10,Paramètres!$A$1:$I$89,3,0)*VLOOKUP('Données projet'!$B$10,Paramètres!$A$1:$I$89,5,0)</f>
        <v>147.108</v>
      </c>
      <c r="AK56" s="14">
        <f t="shared" si="35"/>
        <v>37.920625436598897</v>
      </c>
      <c r="AL56" s="22">
        <f t="shared" si="4"/>
        <v>322.25818930207646</v>
      </c>
      <c r="AM56" s="62">
        <f t="shared" si="5"/>
        <v>615.59152263540977</v>
      </c>
      <c r="AN56" s="62">
        <f ca="1">AVERAGE(OFFSET($AM$3,0,0,'Données projet'!$E$10+1,1))-AVERAGE(OFFSET($H$3,0,0,'Données projet'!$E$10+1,1))</f>
        <v>175.05987582828078</v>
      </c>
      <c r="AO56" s="62">
        <f t="shared" si="36"/>
        <v>268.54782308462387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4.7992228237083072</v>
      </c>
      <c r="AW56" s="23">
        <f>EXP(-LN(2)/2)*AW55+(1-EXP(-LN(2)/2))/(LN(2)/2)*AQ56*AT56*VLOOKUP('Données projet'!$B$10,Paramètres!$A$1:$I$89,3,0)*0.475*44/12</f>
        <v>4.3672690861817744E-3</v>
      </c>
      <c r="AX56" s="23">
        <f t="shared" si="6"/>
        <v>4.8035900927944892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351.87499999999994</v>
      </c>
      <c r="BE56" s="14">
        <f>BD56*VLOOKUP('Données projet'!$B$11,Paramètres!$A$1:$I$89,3,0)*VLOOKUP('Données projet'!$B$11,Paramètres!$A$1:$I$89,5,0)</f>
        <v>210.42124999999999</v>
      </c>
      <c r="BF56" s="14">
        <f t="shared" si="37"/>
        <v>52.027628682866947</v>
      </c>
      <c r="BG56" s="22">
        <f t="shared" si="7"/>
        <v>457.09846370599325</v>
      </c>
      <c r="BH56" s="62">
        <f t="shared" si="8"/>
        <v>750.43179703932651</v>
      </c>
      <c r="BI56" s="62">
        <f ca="1">AVERAGE(OFFSET($BH$3,0,0,'Données projet'!$E$11+1,1))-AVERAGE(OFFSET($H$3,0,0,'Données projet'!$E$11+1,1))</f>
        <v>287.29865338866551</v>
      </c>
      <c r="BJ56" s="62">
        <f t="shared" si="38"/>
        <v>217.57508587672368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5.7895921676324811</v>
      </c>
      <c r="BR56" s="23">
        <f>EXP(-LN(2)/2)*BR55+(1-EXP(-LN(2)/2))/(LN(2)/2)*BL56*BO56*VLOOKUP('Données projet'!$B$11,Paramètres!$A$1:$I$89,3,0)*0.475*44/12</f>
        <v>4.4422688958121988E-3</v>
      </c>
      <c r="BS56" s="24">
        <f t="shared" si="9"/>
        <v>5.7940344365282934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17.285714285714285</v>
      </c>
      <c r="N57" s="14">
        <f>IF('Données projet'!$A$36&gt;35,N56+M57-V56,IF(A57&lt;'Données projet'!$A$36,$K$205^A57,IF(A57='Données projet'!$A$36,'Données projet'!$B$36,N56+M57-V56)))</f>
        <v>479.42857142857122</v>
      </c>
      <c r="O57" s="14">
        <f>N57*VLOOKUP('Données projet'!$B$9,Paramètres!$A$1:$I$89,3,0)*VLOOKUP('Données projet'!$B$9,Paramètres!$A$1:$I$89,5,0)</f>
        <v>268.00057142857128</v>
      </c>
      <c r="P57" s="14">
        <f t="shared" si="33"/>
        <v>64.42475669606354</v>
      </c>
      <c r="Q57" s="22">
        <f t="shared" si="53"/>
        <v>578.97411315040551</v>
      </c>
      <c r="R57" s="62">
        <f t="shared" si="0"/>
        <v>872.30744648373889</v>
      </c>
      <c r="S57" s="62">
        <f ca="1">AVERAGE(OFFSET($R$3,0,0,'Données projet'!$E$9+1,1))-AVERAGE(OFFSET($H$3,0,0,'Données projet'!$E$9+1,1))</f>
        <v>302.20483575440988</v>
      </c>
      <c r="T57" s="62">
        <f t="shared" si="34"/>
        <v>275.32862097158687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11.4477504725456</v>
      </c>
      <c r="AB57" s="23">
        <f>EXP(-LN(2)/2)*AB56+(1-EXP(-LN(2)/2))/(LN(2)/2)*V57*Y57*VLOOKUP('Données projet'!$B$9,Paramètres!$A$1:$I$89,3,0)*0.475*44/12</f>
        <v>2.6874465433801942E-3</v>
      </c>
      <c r="AC57" s="24">
        <f t="shared" si="3"/>
        <v>11.45043791908898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9.75</v>
      </c>
      <c r="AI57" s="14">
        <f>IF('Données projet'!$A$62&gt;35,AI56+AH57-AQ56,IF(A57&lt;'Données projet'!$A$62,$AF$205^A57,IF(A57='Données projet'!$A$62,'Données projet'!$B$62,AI56+AH57-AQ56)))</f>
        <v>245.5</v>
      </c>
      <c r="AJ57" s="14">
        <f>AI57*VLOOKUP('Données projet'!$B$10,Paramètres!$A$1:$I$89,3,0)*VLOOKUP('Données projet'!$B$10,Paramètres!$A$1:$I$89,5,0)</f>
        <v>153.19199999999998</v>
      </c>
      <c r="AK57" s="14">
        <f t="shared" si="35"/>
        <v>39.303087713366921</v>
      </c>
      <c r="AL57" s="22">
        <f t="shared" si="4"/>
        <v>335.2622777674473</v>
      </c>
      <c r="AM57" s="62">
        <f t="shared" si="5"/>
        <v>628.59561110078062</v>
      </c>
      <c r="AN57" s="62">
        <f ca="1">AVERAGE(OFFSET($AM$3,0,0,'Données projet'!$E$10+1,1))-AVERAGE(OFFSET($H$3,0,0,'Données projet'!$E$10+1,1))</f>
        <v>175.05987582828078</v>
      </c>
      <c r="AO57" s="62">
        <f t="shared" si="36"/>
        <v>268.54782308462387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4.6679878232138439</v>
      </c>
      <c r="AW57" s="23">
        <f>EXP(-LN(2)/2)*AW56+(1-EXP(-LN(2)/2))/(LN(2)/2)*AQ57*AT57*VLOOKUP('Données projet'!$B$10,Paramètres!$A$1:$I$89,3,0)*0.475*44/12</f>
        <v>3.0881255861055093E-3</v>
      </c>
      <c r="AX57" s="23">
        <f t="shared" si="6"/>
        <v>4.6710759487999498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369.49999999999994</v>
      </c>
      <c r="BE57" s="14">
        <f>BD57*VLOOKUP('Données projet'!$B$11,Paramètres!$A$1:$I$89,3,0)*VLOOKUP('Données projet'!$B$11,Paramètres!$A$1:$I$89,5,0)</f>
        <v>220.96099999999996</v>
      </c>
      <c r="BF57" s="14">
        <f t="shared" si="37"/>
        <v>54.323701308314696</v>
      </c>
      <c r="BG57" s="22">
        <f t="shared" si="7"/>
        <v>479.45418811198141</v>
      </c>
      <c r="BH57" s="62">
        <f t="shared" si="8"/>
        <v>772.78752144531472</v>
      </c>
      <c r="BI57" s="62">
        <f ca="1">AVERAGE(OFFSET($BH$3,0,0,'Données projet'!$E$11+1,1))-AVERAGE(OFFSET($H$3,0,0,'Données projet'!$E$11+1,1))</f>
        <v>287.29865338866551</v>
      </c>
      <c r="BJ57" s="62">
        <f t="shared" si="38"/>
        <v>217.57508587672368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5.6312754653471515</v>
      </c>
      <c r="BR57" s="23">
        <f>EXP(-LN(2)/2)*BR56+(1-EXP(-LN(2)/2))/(LN(2)/2)*BL57*BO57*VLOOKUP('Données projet'!$B$11,Paramètres!$A$1:$I$89,3,0)*0.475*44/12</f>
        <v>3.1411584600828826E-3</v>
      </c>
      <c r="BS57" s="24">
        <f t="shared" si="9"/>
        <v>5.6344166238072342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17.285714285714285</v>
      </c>
      <c r="N58" s="14">
        <f>IF('Données projet'!$A$36&gt;35,N57+M58-V57,IF(A58&lt;'Données projet'!$A$36,$K$205^A58,IF(A58='Données projet'!$A$36,'Données projet'!$B$36,N57+M58-V57)))</f>
        <v>496.7142857142855</v>
      </c>
      <c r="O58" s="14">
        <f>N58*VLOOKUP('Données projet'!$B$9,Paramètres!$A$1:$I$89,3,0)*VLOOKUP('Données projet'!$B$9,Paramètres!$A$1:$I$89,5,0)</f>
        <v>277.66328571428562</v>
      </c>
      <c r="P58" s="14">
        <f t="shared" si="33"/>
        <v>66.47295338451616</v>
      </c>
      <c r="Q58" s="22">
        <f t="shared" si="53"/>
        <v>599.37061643041295</v>
      </c>
      <c r="R58" s="62">
        <f t="shared" si="0"/>
        <v>892.70394976374632</v>
      </c>
      <c r="S58" s="62">
        <f ca="1">AVERAGE(OFFSET($R$3,0,0,'Données projet'!$E$9+1,1))-AVERAGE(OFFSET($H$3,0,0,'Données projet'!$E$9+1,1))</f>
        <v>302.20483575440988</v>
      </c>
      <c r="T58" s="62">
        <f t="shared" si="34"/>
        <v>275.32862097158687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11.134711133862808</v>
      </c>
      <c r="AB58" s="23">
        <f>EXP(-LN(2)/2)*AB57+(1-EXP(-LN(2)/2))/(LN(2)/2)*V58*Y58*VLOOKUP('Données projet'!$B$9,Paramètres!$A$1:$I$89,3,0)*0.475*44/12</f>
        <v>1.9003116749004825E-3</v>
      </c>
      <c r="AC58" s="24">
        <f t="shared" si="3"/>
        <v>11.136611445537708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9.75</v>
      </c>
      <c r="AI58" s="14">
        <f>IF('Données projet'!$A$62&gt;35,AI57+AH58-AQ57,IF(A58&lt;'Données projet'!$A$62,$AF$205^A58,IF(A58='Données projet'!$A$62,'Données projet'!$B$62,AI57+AH58-AQ57)))</f>
        <v>255.25</v>
      </c>
      <c r="AJ58" s="14">
        <f>AI58*VLOOKUP('Données projet'!$B$10,Paramètres!$A$1:$I$89,3,0)*VLOOKUP('Données projet'!$B$10,Paramètres!$A$1:$I$89,5,0)</f>
        <v>159.27600000000001</v>
      </c>
      <c r="AK58" s="14">
        <f t="shared" si="35"/>
        <v>40.679172107249002</v>
      </c>
      <c r="AL58" s="22">
        <f t="shared" si="4"/>
        <v>348.25525808679203</v>
      </c>
      <c r="AM58" s="62">
        <f t="shared" si="5"/>
        <v>641.58859142012534</v>
      </c>
      <c r="AN58" s="62">
        <f ca="1">AVERAGE(OFFSET($AM$3,0,0,'Données projet'!$E$10+1,1))-AVERAGE(OFFSET($H$3,0,0,'Données projet'!$E$10+1,1))</f>
        <v>175.05987582828078</v>
      </c>
      <c r="AO58" s="62">
        <f t="shared" si="36"/>
        <v>268.54782308462387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4.5403414507092501</v>
      </c>
      <c r="AW58" s="23">
        <f>EXP(-LN(2)/2)*AW57+(1-EXP(-LN(2)/2))/(LN(2)/2)*AQ58*AT58*VLOOKUP('Données projet'!$B$10,Paramètres!$A$1:$I$89,3,0)*0.475*44/12</f>
        <v>2.1836345430908872E-3</v>
      </c>
      <c r="AX58" s="23">
        <f t="shared" si="6"/>
        <v>4.5425250852523407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387.12499999999994</v>
      </c>
      <c r="BE58" s="14">
        <f>BD58*VLOOKUP('Données projet'!$B$11,Paramètres!$A$1:$I$89,3,0)*VLOOKUP('Données projet'!$B$11,Paramètres!$A$1:$I$89,5,0)</f>
        <v>231.50074999999998</v>
      </c>
      <c r="BF58" s="14">
        <f t="shared" si="37"/>
        <v>56.607055837426749</v>
      </c>
      <c r="BG58" s="22">
        <f t="shared" si="7"/>
        <v>501.78776183351812</v>
      </c>
      <c r="BH58" s="62">
        <f t="shared" si="8"/>
        <v>795.12109516685143</v>
      </c>
      <c r="BI58" s="62">
        <f ca="1">AVERAGE(OFFSET($BH$3,0,0,'Données projet'!$E$11+1,1))-AVERAGE(OFFSET($H$3,0,0,'Données projet'!$E$11+1,1))</f>
        <v>287.29865338866551</v>
      </c>
      <c r="BJ58" s="62">
        <f t="shared" si="38"/>
        <v>217.57508587672368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5.4772879416113271</v>
      </c>
      <c r="BR58" s="23">
        <f>EXP(-LN(2)/2)*BR57+(1-EXP(-LN(2)/2))/(LN(2)/2)*BL58*BO58*VLOOKUP('Données projet'!$B$11,Paramètres!$A$1:$I$89,3,0)*0.475*44/12</f>
        <v>2.2211344479060994E-3</v>
      </c>
      <c r="BS58" s="24">
        <f t="shared" si="9"/>
        <v>5.4795090760592329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514</v>
      </c>
      <c r="L59" s="13">
        <f>VLOOKUP(A59,'Données projet'!$A$35:$I$55,9,0)</f>
        <v>17.285714285714285</v>
      </c>
      <c r="M59" s="13">
        <f t="array" ref="M59">INDEX(L:L,MIN(IF(ISNUMBER(L59:L255),ROW(L59:L255),"")))</f>
        <v>17.285714285714285</v>
      </c>
      <c r="N59" s="14">
        <f>IF('Données projet'!$A$36&gt;35,N58+M59-V58,IF(A59&lt;'Données projet'!$A$36,$K$205^A59,IF(A59='Données projet'!$A$36,'Données projet'!$B$36,N58+M59-V58)))</f>
        <v>513.99999999999977</v>
      </c>
      <c r="O59" s="14">
        <f>N59*VLOOKUP('Données projet'!$B$9,Paramètres!$A$1:$I$89,3,0)*VLOOKUP('Données projet'!$B$9,Paramètres!$A$1:$I$89,5,0)</f>
        <v>287.32599999999985</v>
      </c>
      <c r="P59" s="14">
        <f t="shared" si="33"/>
        <v>68.512868389632061</v>
      </c>
      <c r="Q59" s="22">
        <f t="shared" si="53"/>
        <v>619.75269577860888</v>
      </c>
      <c r="R59" s="62">
        <f t="shared" si="0"/>
        <v>913.08602911194225</v>
      </c>
      <c r="S59" s="62">
        <f ca="1">AVERAGE(OFFSET($R$3,0,0,'Données projet'!$E$9+1,1))-AVERAGE(OFFSET($H$3,0,0,'Données projet'!$E$9+1,1))</f>
        <v>302.20483575440988</v>
      </c>
      <c r="T59" s="62">
        <f t="shared" si="34"/>
        <v>275.32862097158687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85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10.83023187235832</v>
      </c>
      <c r="AB59" s="23">
        <f>EXP(-LN(2)/2)*AB58+(1-EXP(-LN(2)/2))/(LN(2)/2)*V59*Y59*VLOOKUP('Données projet'!$B$9,Paramètres!$A$1:$I$89,3,0)*0.475*44/12</f>
        <v>1.3437232716900973E-3</v>
      </c>
      <c r="AC59" s="24">
        <f t="shared" si="3"/>
        <v>10.83157559563001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9.75</v>
      </c>
      <c r="AI59" s="14">
        <f>IF('Données projet'!$A$62&gt;35,AI58+AH59-AQ58,IF(A59&lt;'Données projet'!$A$62,$AF$205^A59,IF(A59='Données projet'!$A$62,'Données projet'!$B$62,AI58+AH59-AQ58)))</f>
        <v>265</v>
      </c>
      <c r="AJ59" s="14">
        <f>AI59*VLOOKUP('Données projet'!$B$10,Paramètres!$A$1:$I$89,3,0)*VLOOKUP('Données projet'!$B$10,Paramètres!$A$1:$I$89,5,0)</f>
        <v>165.35999999999999</v>
      </c>
      <c r="AK59" s="14">
        <f t="shared" si="35"/>
        <v>42.04915012784209</v>
      </c>
      <c r="AL59" s="22">
        <f t="shared" si="4"/>
        <v>361.2376031393249</v>
      </c>
      <c r="AM59" s="62">
        <f t="shared" si="5"/>
        <v>654.57093647265822</v>
      </c>
      <c r="AN59" s="62">
        <f ca="1">AVERAGE(OFFSET($AM$3,0,0,'Données projet'!$E$10+1,1))-AVERAGE(OFFSET($H$3,0,0,'Données projet'!$E$10+1,1))</f>
        <v>175.05987582828078</v>
      </c>
      <c r="AO59" s="62">
        <f t="shared" si="36"/>
        <v>268.54782308462387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4.4161855749734258</v>
      </c>
      <c r="AW59" s="23">
        <f>EXP(-LN(2)/2)*AW58+(1-EXP(-LN(2)/2))/(LN(2)/2)*AQ59*AT59*VLOOKUP('Données projet'!$B$10,Paramètres!$A$1:$I$89,3,0)*0.475*44/12</f>
        <v>1.5440627930527547E-3</v>
      </c>
      <c r="AX59" s="23">
        <f t="shared" si="6"/>
        <v>4.4177296377664783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404.74999999999994</v>
      </c>
      <c r="BE59" s="14">
        <f>BD59*VLOOKUP('Données projet'!$B$11,Paramètres!$A$1:$I$89,3,0)*VLOOKUP('Données projet'!$B$11,Paramètres!$A$1:$I$89,5,0)</f>
        <v>242.04049999999998</v>
      </c>
      <c r="BF59" s="14">
        <f t="shared" si="37"/>
        <v>58.878337443371535</v>
      </c>
      <c r="BG59" s="22">
        <f t="shared" si="7"/>
        <v>524.10030854720526</v>
      </c>
      <c r="BH59" s="62">
        <f t="shared" si="8"/>
        <v>817.43364188053852</v>
      </c>
      <c r="BI59" s="62">
        <f ca="1">AVERAGE(OFFSET($BH$3,0,0,'Données projet'!$E$11+1,1))-AVERAGE(OFFSET($H$3,0,0,'Données projet'!$E$11+1,1))</f>
        <v>287.29865338866551</v>
      </c>
      <c r="BJ59" s="62">
        <f t="shared" si="38"/>
        <v>217.57508587672368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5.3275112148099106</v>
      </c>
      <c r="BR59" s="23">
        <f>EXP(-LN(2)/2)*BR58+(1-EXP(-LN(2)/2))/(LN(2)/2)*BL59*BO59*VLOOKUP('Données projet'!$B$11,Paramètres!$A$1:$I$89,3,0)*0.475*44/12</f>
        <v>1.5705792300414413E-3</v>
      </c>
      <c r="BS59" s="24">
        <f t="shared" si="9"/>
        <v>5.3290817940399524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15.571428571428571</v>
      </c>
      <c r="N60" s="14">
        <f>IF('Données projet'!$A$36&gt;35,N59+M60-V59,IF(A60&lt;'Données projet'!$A$36,$K$205^A60,IF(A60='Données projet'!$A$36,'Données projet'!$B$36,N59+M60-V59)))</f>
        <v>444.57142857142833</v>
      </c>
      <c r="O60" s="14">
        <f>N60*VLOOKUP('Données projet'!$B$9,Paramètres!$A$1:$I$89,3,0)*VLOOKUP('Données projet'!$B$9,Paramètres!$A$1:$I$89,5,0)</f>
        <v>248.51542857142846</v>
      </c>
      <c r="P60" s="14">
        <f t="shared" si="33"/>
        <v>60.267932112745214</v>
      </c>
      <c r="Q60" s="22">
        <f t="shared" si="53"/>
        <v>537.79768652493578</v>
      </c>
      <c r="R60" s="62">
        <f t="shared" si="0"/>
        <v>831.13101985826916</v>
      </c>
      <c r="S60" s="62">
        <f ca="1">AVERAGE(OFFSET($R$3,0,0,'Données projet'!$E$9+1,1))-AVERAGE(OFFSET($H$3,0,0,'Données projet'!$E$9+1,1))</f>
        <v>302.20483575440988</v>
      </c>
      <c r="T60" s="62">
        <f t="shared" si="34"/>
        <v>275.32862097158687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10.534078612271541</v>
      </c>
      <c r="AB60" s="23">
        <f>EXP(-LN(2)/2)*AB59+(1-EXP(-LN(2)/2))/(LN(2)/2)*V60*Y60*VLOOKUP('Données projet'!$B$9,Paramètres!$A$1:$I$89,3,0)*0.475*44/12</f>
        <v>9.5015583745024148E-4</v>
      </c>
      <c r="AC60" s="24">
        <f t="shared" si="3"/>
        <v>10.535028768108992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9.75</v>
      </c>
      <c r="AI60" s="14">
        <f>IF('Données projet'!$A$62&gt;35,AI59+AH60-AQ59,IF(A60&lt;'Données projet'!$A$62,$AF$205^A60,IF(A60='Données projet'!$A$62,'Données projet'!$B$62,AI59+AH60-AQ59)))</f>
        <v>274.75</v>
      </c>
      <c r="AJ60" s="14">
        <f>AI60*VLOOKUP('Données projet'!$B$10,Paramètres!$A$1:$I$89,3,0)*VLOOKUP('Données projet'!$B$10,Paramètres!$A$1:$I$89,5,0)</f>
        <v>171.44399999999999</v>
      </c>
      <c r="AK60" s="14">
        <f t="shared" si="35"/>
        <v>43.413272173627242</v>
      </c>
      <c r="AL60" s="22">
        <f t="shared" si="4"/>
        <v>374.20974903573409</v>
      </c>
      <c r="AM60" s="62">
        <f t="shared" si="5"/>
        <v>667.54308236906741</v>
      </c>
      <c r="AN60" s="62">
        <f ca="1">AVERAGE(OFFSET($AM$3,0,0,'Données projet'!$E$10+1,1))-AVERAGE(OFFSET($H$3,0,0,'Données projet'!$E$10+1,1))</f>
        <v>175.05987582828078</v>
      </c>
      <c r="AO60" s="62">
        <f t="shared" si="36"/>
        <v>268.54782308462387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4.2954247481886716</v>
      </c>
      <c r="AW60" s="23">
        <f>EXP(-LN(2)/2)*AW59+(1-EXP(-LN(2)/2))/(LN(2)/2)*AQ60*AT60*VLOOKUP('Données projet'!$B$10,Paramètres!$A$1:$I$89,3,0)*0.475*44/12</f>
        <v>1.0918172715454436E-3</v>
      </c>
      <c r="AX60" s="23">
        <f t="shared" si="6"/>
        <v>4.2965165654602169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422.37499999999994</v>
      </c>
      <c r="BE60" s="14">
        <f>BD60*VLOOKUP('Données projet'!$B$11,Paramètres!$A$1:$I$89,3,0)*VLOOKUP('Données projet'!$B$11,Paramètres!$A$1:$I$89,5,0)</f>
        <v>252.58025000000001</v>
      </c>
      <c r="BF60" s="14">
        <f t="shared" si="37"/>
        <v>61.138131933251593</v>
      </c>
      <c r="BG60" s="22">
        <f t="shared" si="7"/>
        <v>546.39284853374647</v>
      </c>
      <c r="BH60" s="62">
        <f t="shared" si="8"/>
        <v>839.72618186707973</v>
      </c>
      <c r="BI60" s="62">
        <f ca="1">AVERAGE(OFFSET($BH$3,0,0,'Données projet'!$E$11+1,1))-AVERAGE(OFFSET($H$3,0,0,'Données projet'!$E$11+1,1))</f>
        <v>287.29865338866551</v>
      </c>
      <c r="BJ60" s="62">
        <f t="shared" si="38"/>
        <v>217.57508587672368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5.1818301404792955</v>
      </c>
      <c r="BR60" s="23">
        <f>EXP(-LN(2)/2)*BR59+(1-EXP(-LN(2)/2))/(LN(2)/2)*BL60*BO60*VLOOKUP('Données projet'!$B$11,Paramètres!$A$1:$I$89,3,0)*0.475*44/12</f>
        <v>1.1105672239530497E-3</v>
      </c>
      <c r="BS60" s="24">
        <f t="shared" si="9"/>
        <v>5.1829407077032483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15.571428571428571</v>
      </c>
      <c r="N61" s="14">
        <f>IF('Données projet'!$A$36&gt;35,N60+M61-V60,IF(A61&lt;'Données projet'!$A$36,$K$205^A61,IF(A61='Données projet'!$A$36,'Données projet'!$B$36,N60+M61-V60)))</f>
        <v>460.14285714285688</v>
      </c>
      <c r="O61" s="14">
        <f>N61*VLOOKUP('Données projet'!$B$9,Paramètres!$A$1:$I$89,3,0)*VLOOKUP('Données projet'!$B$9,Paramètres!$A$1:$I$89,5,0)</f>
        <v>257.21985714285699</v>
      </c>
      <c r="P61" s="14">
        <f t="shared" si="33"/>
        <v>62.129393573116417</v>
      </c>
      <c r="Q61" s="22">
        <f t="shared" si="53"/>
        <v>556.19994499698703</v>
      </c>
      <c r="R61" s="62">
        <f t="shared" si="0"/>
        <v>849.5332783303204</v>
      </c>
      <c r="S61" s="62">
        <f ca="1">AVERAGE(OFFSET($R$3,0,0,'Données projet'!$E$9+1,1))-AVERAGE(OFFSET($H$3,0,0,'Données projet'!$E$9+1,1))</f>
        <v>302.20483575440988</v>
      </c>
      <c r="T61" s="62">
        <f t="shared" si="34"/>
        <v>275.32862097158687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10.246023678655858</v>
      </c>
      <c r="AB61" s="23">
        <f>EXP(-LN(2)/2)*AB60+(1-EXP(-LN(2)/2))/(LN(2)/2)*V61*Y61*VLOOKUP('Données projet'!$B$9,Paramètres!$A$1:$I$89,3,0)*0.475*44/12</f>
        <v>6.7186163584504876E-4</v>
      </c>
      <c r="AC61" s="24">
        <f t="shared" si="3"/>
        <v>10.246695540291704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9.75</v>
      </c>
      <c r="AI61" s="14">
        <f>IF('Données projet'!$A$62&gt;35,AI60+AH61-AQ60,IF(A61&lt;'Données projet'!$A$62,$AF$205^A61,IF(A61='Données projet'!$A$62,'Données projet'!$B$62,AI60+AH61-AQ60)))</f>
        <v>284.5</v>
      </c>
      <c r="AJ61" s="14">
        <f>AI61*VLOOKUP('Données projet'!$B$10,Paramètres!$A$1:$I$89,3,0)*VLOOKUP('Données projet'!$B$10,Paramètres!$A$1:$I$89,5,0)</f>
        <v>177.52800000000002</v>
      </c>
      <c r="AK61" s="14">
        <f t="shared" si="35"/>
        <v>44.771769863863661</v>
      </c>
      <c r="AL61" s="22">
        <f t="shared" si="4"/>
        <v>387.17209917956257</v>
      </c>
      <c r="AM61" s="62">
        <f t="shared" si="5"/>
        <v>680.50543251289582</v>
      </c>
      <c r="AN61" s="62">
        <f ca="1">AVERAGE(OFFSET($AM$3,0,0,'Données projet'!$E$10+1,1))-AVERAGE(OFFSET($H$3,0,0,'Données projet'!$E$10+1,1))</f>
        <v>175.05987582828078</v>
      </c>
      <c r="AO61" s="62">
        <f t="shared" si="36"/>
        <v>268.54782308462387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4.1779661325628821</v>
      </c>
      <c r="AW61" s="23">
        <f>EXP(-LN(2)/2)*AW60+(1-EXP(-LN(2)/2))/(LN(2)/2)*AQ61*AT61*VLOOKUP('Données projet'!$B$10,Paramètres!$A$1:$I$89,3,0)*0.475*44/12</f>
        <v>7.7203139652637733E-4</v>
      </c>
      <c r="AX61" s="23">
        <f t="shared" si="6"/>
        <v>4.1787381639594088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440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439.99999999999994</v>
      </c>
      <c r="BE61" s="14">
        <f>BD61*VLOOKUP('Données projet'!$B$11,Paramètres!$A$1:$I$89,3,0)*VLOOKUP('Données projet'!$B$11,Paramètres!$A$1:$I$89,5,0)</f>
        <v>263.12</v>
      </c>
      <c r="BF61" s="14">
        <f t="shared" si="37"/>
        <v>63.386973458752003</v>
      </c>
      <c r="BG61" s="22">
        <f t="shared" si="7"/>
        <v>568.66631210732646</v>
      </c>
      <c r="BH61" s="62">
        <f t="shared" si="8"/>
        <v>861.99964544065983</v>
      </c>
      <c r="BI61" s="62">
        <f ca="1">AVERAGE(OFFSET($BH$3,0,0,'Données projet'!$E$11+1,1))-AVERAGE(OFFSET($H$3,0,0,'Données projet'!$E$11+1,1))</f>
        <v>287.29865338866551</v>
      </c>
      <c r="BJ61" s="62">
        <f t="shared" si="38"/>
        <v>217.57508587672368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5.040132722787285</v>
      </c>
      <c r="BR61" s="23">
        <f>EXP(-LN(2)/2)*BR60+(1-EXP(-LN(2)/2))/(LN(2)/2)*BL61*BO61*VLOOKUP('Données projet'!$B$11,Paramètres!$A$1:$I$89,3,0)*0.475*44/12</f>
        <v>7.8528961502072065E-4</v>
      </c>
      <c r="BS61" s="24">
        <f t="shared" si="9"/>
        <v>5.0409180124023054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15.571428571428571</v>
      </c>
      <c r="N62" s="14">
        <f>IF('Données projet'!$A$36&gt;35,N61+M62-V61,IF(A62&lt;'Données projet'!$A$36,$K$205^A62,IF(A62='Données projet'!$A$36,'Données projet'!$B$36,N61+M62-V61)))</f>
        <v>475.71428571428544</v>
      </c>
      <c r="O62" s="14">
        <f>N62*VLOOKUP('Données projet'!$B$9,Paramètres!$A$1:$I$89,3,0)*VLOOKUP('Données projet'!$B$9,Paramètres!$A$1:$I$89,5,0)</f>
        <v>265.92428571428559</v>
      </c>
      <c r="P62" s="14">
        <f t="shared" si="33"/>
        <v>63.983535636381461</v>
      </c>
      <c r="Q62" s="22">
        <f t="shared" si="53"/>
        <v>574.58945551907846</v>
      </c>
      <c r="R62" s="62">
        <f t="shared" si="0"/>
        <v>867.92278885241171</v>
      </c>
      <c r="S62" s="62">
        <f ca="1">AVERAGE(OFFSET($R$3,0,0,'Données projet'!$E$9+1,1))-AVERAGE(OFFSET($H$3,0,0,'Données projet'!$E$9+1,1))</f>
        <v>302.20483575440988</v>
      </c>
      <c r="T62" s="62">
        <f t="shared" si="34"/>
        <v>275.32862097158687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9.9658456223480449</v>
      </c>
      <c r="AB62" s="23">
        <f>EXP(-LN(2)/2)*AB61+(1-EXP(-LN(2)/2))/(LN(2)/2)*V62*Y62*VLOOKUP('Données projet'!$B$9,Paramètres!$A$1:$I$89,3,0)*0.475*44/12</f>
        <v>4.7507791872512079E-4</v>
      </c>
      <c r="AC62" s="24">
        <f t="shared" si="3"/>
        <v>9.9663207002667704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9.75</v>
      </c>
      <c r="AI62" s="14">
        <f>IF('Données projet'!$A$62&gt;35,AI61+AH62-AQ61,IF(A62&lt;'Données projet'!$A$62,$AF$205^A62,IF(A62='Données projet'!$A$62,'Données projet'!$B$62,AI61+AH62-AQ61)))</f>
        <v>294.25</v>
      </c>
      <c r="AJ62" s="14">
        <f>AI62*VLOOKUP('Données projet'!$B$10,Paramètres!$A$1:$I$89,3,0)*VLOOKUP('Données projet'!$B$10,Paramètres!$A$1:$I$89,5,0)</f>
        <v>183.61199999999999</v>
      </c>
      <c r="AK62" s="14">
        <f t="shared" si="35"/>
        <v>46.124858041839339</v>
      </c>
      <c r="AL62" s="22">
        <f t="shared" si="4"/>
        <v>400.12502775620351</v>
      </c>
      <c r="AM62" s="62">
        <f t="shared" si="5"/>
        <v>693.45836108953677</v>
      </c>
      <c r="AN62" s="62">
        <f ca="1">AVERAGE(OFFSET($AM$3,0,0,'Données projet'!$E$10+1,1))-AVERAGE(OFFSET($H$3,0,0,'Données projet'!$E$10+1,1))</f>
        <v>175.05987582828078</v>
      </c>
      <c r="AO62" s="62">
        <f t="shared" si="36"/>
        <v>268.54782308462387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4.0637194289582599</v>
      </c>
      <c r="AW62" s="23">
        <f>EXP(-LN(2)/2)*AW61+(1-EXP(-LN(2)/2))/(LN(2)/2)*AQ62*AT62*VLOOKUP('Données projet'!$B$10,Paramètres!$A$1:$I$89,3,0)*0.475*44/12</f>
        <v>5.459086357727218E-4</v>
      </c>
      <c r="AX62" s="23">
        <f t="shared" si="6"/>
        <v>4.0642653375940325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378.62499999999994</v>
      </c>
      <c r="BE62" s="14">
        <f>BD62*VLOOKUP('Données projet'!$B$11,Paramètres!$A$1:$I$89,3,0)*VLOOKUP('Données projet'!$B$11,Paramètres!$A$1:$I$89,5,0)</f>
        <v>226.41774999999998</v>
      </c>
      <c r="BF62" s="14">
        <f t="shared" si="37"/>
        <v>55.507409107649494</v>
      </c>
      <c r="BG62" s="22">
        <f t="shared" si="7"/>
        <v>491.0196521124895</v>
      </c>
      <c r="BH62" s="62">
        <f t="shared" si="8"/>
        <v>784.35298544582281</v>
      </c>
      <c r="BI62" s="62">
        <f ca="1">AVERAGE(OFFSET($BH$3,0,0,'Données projet'!$E$11+1,1))-AVERAGE(OFFSET($H$3,0,0,'Données projet'!$E$11+1,1))</f>
        <v>287.29865338866551</v>
      </c>
      <c r="BJ62" s="62">
        <f t="shared" si="38"/>
        <v>217.57508587672368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4.9023100284336065</v>
      </c>
      <c r="BR62" s="23">
        <f>EXP(-LN(2)/2)*BR61+(1-EXP(-LN(2)/2))/(LN(2)/2)*BL62*BO62*VLOOKUP('Données projet'!$B$11,Paramètres!$A$1:$I$89,3,0)*0.475*44/12</f>
        <v>5.5528361197652485E-4</v>
      </c>
      <c r="BS62" s="24">
        <f t="shared" si="9"/>
        <v>4.9028653120455834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15.571428571428571</v>
      </c>
      <c r="N63" s="14">
        <f>IF('Données projet'!$A$36&gt;35,N62+M63-V62,IF(A63&lt;'Données projet'!$A$36,$K$205^A63,IF(A63='Données projet'!$A$36,'Données projet'!$B$36,N62+M63-V62)))</f>
        <v>491.28571428571399</v>
      </c>
      <c r="O63" s="14">
        <f>N63*VLOOKUP('Données projet'!$B$9,Paramètres!$A$1:$I$89,3,0)*VLOOKUP('Données projet'!$B$9,Paramètres!$A$1:$I$89,5,0)</f>
        <v>274.62871428571412</v>
      </c>
      <c r="P63" s="14">
        <f t="shared" si="33"/>
        <v>65.830625361909483</v>
      </c>
      <c r="Q63" s="22">
        <f t="shared" si="53"/>
        <v>592.96668321961113</v>
      </c>
      <c r="R63" s="62">
        <f t="shared" si="0"/>
        <v>886.3000165529445</v>
      </c>
      <c r="S63" s="62">
        <f ca="1">AVERAGE(OFFSET($R$3,0,0,'Données projet'!$E$9+1,1))-AVERAGE(OFFSET($H$3,0,0,'Données projet'!$E$9+1,1))</f>
        <v>302.20483575440988</v>
      </c>
      <c r="T63" s="62">
        <f t="shared" si="34"/>
        <v>275.32862097158687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9.6933290497238929</v>
      </c>
      <c r="AB63" s="23">
        <f>EXP(-LN(2)/2)*AB62+(1-EXP(-LN(2)/2))/(LN(2)/2)*V63*Y63*VLOOKUP('Données projet'!$B$9,Paramètres!$A$1:$I$89,3,0)*0.475*44/12</f>
        <v>3.3593081792252443E-4</v>
      </c>
      <c r="AC63" s="24">
        <f t="shared" si="3"/>
        <v>9.6936649805418149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304</v>
      </c>
      <c r="AG63" s="13">
        <f>VLOOKUP(A63,'Données projet'!$A$61:$I$81,9,0)</f>
        <v>9.75</v>
      </c>
      <c r="AH63" s="13">
        <f t="array" ref="AH63">INDEX(AG:AG,MIN(IF(ISNUMBER(AG63:AG259),ROW(AG63:AG259),"")))</f>
        <v>9.75</v>
      </c>
      <c r="AI63" s="14">
        <f>IF('Données projet'!$A$62&gt;35,AI62+AH63-AQ62,IF(A63&lt;'Données projet'!$A$62,$AF$205^A63,IF(A63='Données projet'!$A$62,'Données projet'!$B$62,AI62+AH63-AQ62)))</f>
        <v>304</v>
      </c>
      <c r="AJ63" s="14">
        <f>AI63*VLOOKUP('Données projet'!$B$10,Paramètres!$A$1:$I$89,3,0)*VLOOKUP('Données projet'!$B$10,Paramètres!$A$1:$I$89,5,0)</f>
        <v>189.696</v>
      </c>
      <c r="AK63" s="14">
        <f t="shared" si="35"/>
        <v>47.472736505152469</v>
      </c>
      <c r="AL63" s="22">
        <f t="shared" si="4"/>
        <v>413.06888274647389</v>
      </c>
      <c r="AM63" s="62">
        <f t="shared" si="5"/>
        <v>706.4022160798072</v>
      </c>
      <c r="AN63" s="62">
        <f ca="1">AVERAGE(OFFSET($AM$3,0,0,'Données projet'!$E$10+1,1))-AVERAGE(OFFSET($H$3,0,0,'Données projet'!$E$10+1,1))</f>
        <v>175.05987582828078</v>
      </c>
      <c r="AO63" s="62">
        <f t="shared" si="36"/>
        <v>268.54782308462387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304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3.9525968074716791</v>
      </c>
      <c r="AW63" s="23">
        <f>EXP(-LN(2)/2)*AW62+(1-EXP(-LN(2)/2))/(LN(2)/2)*AQ63*AT63*VLOOKUP('Données projet'!$B$10,Paramètres!$A$1:$I$89,3,0)*0.475*44/12</f>
        <v>3.8601569826318867E-4</v>
      </c>
      <c r="AX63" s="23">
        <f t="shared" si="6"/>
        <v>3.9529828231699424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395.24999999999994</v>
      </c>
      <c r="BE63" s="14">
        <f>BD63*VLOOKUP('Données projet'!$B$11,Paramètres!$A$1:$I$89,3,0)*VLOOKUP('Données projet'!$B$11,Paramètres!$A$1:$I$89,5,0)</f>
        <v>236.35949999999997</v>
      </c>
      <c r="BF63" s="14">
        <f t="shared" si="37"/>
        <v>57.655563749416167</v>
      </c>
      <c r="BG63" s="22">
        <f t="shared" si="7"/>
        <v>512.07623603023308</v>
      </c>
      <c r="BH63" s="62">
        <f t="shared" si="8"/>
        <v>805.40956936356633</v>
      </c>
      <c r="BI63" s="62">
        <f ca="1">AVERAGE(OFFSET($BH$3,0,0,'Données projet'!$E$11+1,1))-AVERAGE(OFFSET($H$3,0,0,'Données projet'!$E$11+1,1))</f>
        <v>287.29865338866551</v>
      </c>
      <c r="BJ63" s="62">
        <f t="shared" si="38"/>
        <v>217.57508587672368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4.7682561029048092</v>
      </c>
      <c r="BR63" s="23">
        <f>EXP(-LN(2)/2)*BR62+(1-EXP(-LN(2)/2))/(LN(2)/2)*BL63*BO63*VLOOKUP('Données projet'!$B$11,Paramètres!$A$1:$I$89,3,0)*0.475*44/12</f>
        <v>3.9264480751036033E-4</v>
      </c>
      <c r="BS63" s="24">
        <f t="shared" si="9"/>
        <v>4.7686487477123194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15.571428571428571</v>
      </c>
      <c r="N64" s="14">
        <f>IF('Données projet'!$A$36&gt;35,N63+M64-V63,IF(A64&lt;'Données projet'!$A$36,$K$205^A64,IF(A64='Données projet'!$A$36,'Données projet'!$B$36,N63+M64-V63)))</f>
        <v>506.85714285714255</v>
      </c>
      <c r="O64" s="14">
        <f>N64*VLOOKUP('Données projet'!$B$9,Paramètres!$A$1:$I$89,3,0)*VLOOKUP('Données projet'!$B$9,Paramètres!$A$1:$I$89,5,0)</f>
        <v>283.33314285714266</v>
      </c>
      <c r="P64" s="14">
        <f t="shared" si="33"/>
        <v>67.670911918680105</v>
      </c>
      <c r="Q64" s="22">
        <f t="shared" si="53"/>
        <v>611.33206206789123</v>
      </c>
      <c r="R64" s="62">
        <f t="shared" si="0"/>
        <v>904.66539540122449</v>
      </c>
      <c r="S64" s="62">
        <f ca="1">AVERAGE(OFFSET($R$3,0,0,'Données projet'!$E$9+1,1))-AVERAGE(OFFSET($H$3,0,0,'Données projet'!$E$9+1,1))</f>
        <v>302.20483575440988</v>
      </c>
      <c r="T64" s="62">
        <f t="shared" si="34"/>
        <v>275.32862097158687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9.4282644571091723</v>
      </c>
      <c r="AB64" s="23">
        <f>EXP(-LN(2)/2)*AB63+(1-EXP(-LN(2)/2))/(LN(2)/2)*V64*Y64*VLOOKUP('Données projet'!$B$9,Paramètres!$A$1:$I$89,3,0)*0.475*44/12</f>
        <v>2.3753895936256045E-4</v>
      </c>
      <c r="AC64" s="24">
        <f t="shared" si="3"/>
        <v>9.428501996068535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175.05987582828078</v>
      </c>
      <c r="AO64" s="62">
        <f t="shared" si="36"/>
        <v>268.54782308462387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3.8445128399133335</v>
      </c>
      <c r="AW64" s="23">
        <f>EXP(-LN(2)/2)*AW63+(1-EXP(-LN(2)/2))/(LN(2)/2)*AQ64*AT64*VLOOKUP('Données projet'!$B$10,Paramètres!$A$1:$I$89,3,0)*0.475*44/12</f>
        <v>2.729543178863609E-4</v>
      </c>
      <c r="AX64" s="23">
        <f t="shared" si="6"/>
        <v>3.8447857942312198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411.87499999999994</v>
      </c>
      <c r="BE64" s="14">
        <f>BD64*VLOOKUP('Données projet'!$B$11,Paramètres!$A$1:$I$89,3,0)*VLOOKUP('Données projet'!$B$11,Paramètres!$A$1:$I$89,5,0)</f>
        <v>246.30124999999998</v>
      </c>
      <c r="BF64" s="14">
        <f t="shared" si="37"/>
        <v>59.793223430016852</v>
      </c>
      <c r="BG64" s="22">
        <f t="shared" si="7"/>
        <v>533.11454122394582</v>
      </c>
      <c r="BH64" s="62">
        <f t="shared" si="8"/>
        <v>826.44787455727919</v>
      </c>
      <c r="BI64" s="62">
        <f ca="1">AVERAGE(OFFSET($BH$3,0,0,'Données projet'!$E$11+1,1))-AVERAGE(OFFSET($H$3,0,0,'Données projet'!$E$11+1,1))</f>
        <v>287.29865338866551</v>
      </c>
      <c r="BJ64" s="62">
        <f t="shared" si="38"/>
        <v>217.57508587672368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4.6378678890191871</v>
      </c>
      <c r="BR64" s="23">
        <f>EXP(-LN(2)/2)*BR63+(1-EXP(-LN(2)/2))/(LN(2)/2)*BL64*BO64*VLOOKUP('Données projet'!$B$11,Paramètres!$A$1:$I$89,3,0)*0.475*44/12</f>
        <v>2.7764180598826243E-4</v>
      </c>
      <c r="BS64" s="24">
        <f t="shared" si="9"/>
        <v>4.6381455308251756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15.571428571428571</v>
      </c>
      <c r="N65" s="14">
        <f>IF('Données projet'!$A$36&gt;35,N64+M65-V64,IF(A65&lt;'Données projet'!$A$36,$K$205^A65,IF(A65='Données projet'!$A$36,'Données projet'!$B$36,N64+M65-V64)))</f>
        <v>522.4285714285711</v>
      </c>
      <c r="O65" s="14">
        <f>N65*VLOOKUP('Données projet'!$B$9,Paramètres!$A$1:$I$89,3,0)*VLOOKUP('Données projet'!$B$9,Paramètres!$A$1:$I$89,5,0)</f>
        <v>292.03757142857125</v>
      </c>
      <c r="P65" s="14">
        <f t="shared" si="33"/>
        <v>69.504628296156</v>
      </c>
      <c r="Q65" s="22">
        <f t="shared" si="53"/>
        <v>629.68599785389995</v>
      </c>
      <c r="R65" s="62">
        <f t="shared" si="0"/>
        <v>923.01933118723332</v>
      </c>
      <c r="S65" s="62">
        <f ca="1">AVERAGE(OFFSET($R$3,0,0,'Données projet'!$E$9+1,1))-AVERAGE(OFFSET($H$3,0,0,'Données projet'!$E$9+1,1))</f>
        <v>302.20483575440988</v>
      </c>
      <c r="T65" s="62">
        <f t="shared" si="34"/>
        <v>275.32862097158687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9.1704480697186419</v>
      </c>
      <c r="AB65" s="23">
        <f>EXP(-LN(2)/2)*AB64+(1-EXP(-LN(2)/2))/(LN(2)/2)*V65*Y65*VLOOKUP('Données projet'!$B$9,Paramètres!$A$1:$I$89,3,0)*0.475*44/12</f>
        <v>1.6796540896126224E-4</v>
      </c>
      <c r="AC65" s="24">
        <f t="shared" si="3"/>
        <v>9.1706160351276029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175.05987582828078</v>
      </c>
      <c r="AO65" s="62">
        <f t="shared" si="36"/>
        <v>268.54782308462387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3.7393844341317597</v>
      </c>
      <c r="AW65" s="23">
        <f>EXP(-LN(2)/2)*AW64+(1-EXP(-LN(2)/2))/(LN(2)/2)*AQ65*AT65*VLOOKUP('Données projet'!$B$10,Paramètres!$A$1:$I$89,3,0)*0.475*44/12</f>
        <v>1.9300784913159433E-4</v>
      </c>
      <c r="AX65" s="23">
        <f t="shared" si="6"/>
        <v>3.7395774419808911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428.49999999999994</v>
      </c>
      <c r="BE65" s="14">
        <f>BD65*VLOOKUP('Données projet'!$B$11,Paramètres!$A$1:$I$89,3,0)*VLOOKUP('Données projet'!$B$11,Paramètres!$A$1:$I$89,5,0)</f>
        <v>256.24299999999999</v>
      </c>
      <c r="BF65" s="14">
        <f t="shared" si="37"/>
        <v>61.920860231490025</v>
      </c>
      <c r="BG65" s="22">
        <f t="shared" si="7"/>
        <v>554.13538990317852</v>
      </c>
      <c r="BH65" s="62">
        <f t="shared" si="8"/>
        <v>847.46872323651178</v>
      </c>
      <c r="BI65" s="62">
        <f ca="1">AVERAGE(OFFSET($BH$3,0,0,'Données projet'!$E$11+1,1))-AVERAGE(OFFSET($H$3,0,0,'Données projet'!$E$11+1,1))</f>
        <v>287.29865338866551</v>
      </c>
      <c r="BJ65" s="62">
        <f t="shared" si="38"/>
        <v>217.57508587672368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4.5110451476990852</v>
      </c>
      <c r="BR65" s="23">
        <f>EXP(-LN(2)/2)*BR64+(1-EXP(-LN(2)/2))/(LN(2)/2)*BL65*BO65*VLOOKUP('Données projet'!$B$11,Paramètres!$A$1:$I$89,3,0)*0.475*44/12</f>
        <v>1.9632240375518016E-4</v>
      </c>
      <c r="BS65" s="24">
        <f t="shared" si="9"/>
        <v>4.5112414701028403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538</v>
      </c>
      <c r="L66" s="13">
        <f>VLOOKUP(A66,'Données projet'!$A$35:$I$55,9,0)</f>
        <v>15.571428571428571</v>
      </c>
      <c r="M66" s="13">
        <f t="array" ref="M66">INDEX(L:L,MIN(IF(ISNUMBER(L66:L262),ROW(L66:L262),"")))</f>
        <v>15.571428571428571</v>
      </c>
      <c r="N66" s="14">
        <f>IF('Données projet'!$A$36&gt;35,N65+M66-V65,IF(A66&lt;'Données projet'!$A$36,$K$205^A66,IF(A66='Données projet'!$A$36,'Données projet'!$B$36,N65+M66-V65)))</f>
        <v>537.99999999999966</v>
      </c>
      <c r="O66" s="14">
        <f>N66*VLOOKUP('Données projet'!$B$9,Paramètres!$A$1:$I$89,3,0)*VLOOKUP('Données projet'!$B$9,Paramètres!$A$1:$I$89,5,0)</f>
        <v>300.74199999999985</v>
      </c>
      <c r="P66" s="14">
        <f t="shared" si="33"/>
        <v>71.331992805448763</v>
      </c>
      <c r="Q66" s="22">
        <f t="shared" si="53"/>
        <v>648.02887080282289</v>
      </c>
      <c r="R66" s="62">
        <f t="shared" si="0"/>
        <v>941.36220413615615</v>
      </c>
      <c r="S66" s="62">
        <f ca="1">AVERAGE(OFFSET($R$3,0,0,'Données projet'!$E$9+1,1))-AVERAGE(OFFSET($H$3,0,0,'Données projet'!$E$9+1,1))</f>
        <v>302.20483575440988</v>
      </c>
      <c r="T66" s="62">
        <f t="shared" si="34"/>
        <v>275.32862097158687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84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8.919681684999281</v>
      </c>
      <c r="AB66" s="23">
        <f>EXP(-LN(2)/2)*AB65+(1-EXP(-LN(2)/2))/(LN(2)/2)*V66*Y66*VLOOKUP('Données projet'!$B$9,Paramètres!$A$1:$I$89,3,0)*0.475*44/12</f>
        <v>1.1876947968128024E-4</v>
      </c>
      <c r="AC66" s="24">
        <f t="shared" si="3"/>
        <v>8.9198004544789615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175.05987582828078</v>
      </c>
      <c r="AO66" s="62">
        <f t="shared" si="36"/>
        <v>268.54782308462387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3.6371307701347457</v>
      </c>
      <c r="AW66" s="23">
        <f>EXP(-LN(2)/2)*AW65+(1-EXP(-LN(2)/2))/(LN(2)/2)*AQ66*AT66*VLOOKUP('Données projet'!$B$10,Paramètres!$A$1:$I$89,3,0)*0.475*44/12</f>
        <v>1.3647715894318045E-4</v>
      </c>
      <c r="AX66" s="23">
        <f t="shared" si="6"/>
        <v>3.6372672472936891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445.12499999999994</v>
      </c>
      <c r="BE66" s="14">
        <f>BD66*VLOOKUP('Données projet'!$B$11,Paramètres!$A$1:$I$89,3,0)*VLOOKUP('Données projet'!$B$11,Paramètres!$A$1:$I$89,5,0)</f>
        <v>266.18475000000001</v>
      </c>
      <c r="BF66" s="14">
        <f t="shared" si="37"/>
        <v>64.038907529798962</v>
      </c>
      <c r="BG66" s="22">
        <f t="shared" si="7"/>
        <v>575.13953686439993</v>
      </c>
      <c r="BH66" s="62">
        <f t="shared" si="8"/>
        <v>868.4728701977333</v>
      </c>
      <c r="BI66" s="62">
        <f ca="1">AVERAGE(OFFSET($BH$3,0,0,'Données projet'!$E$11+1,1))-AVERAGE(OFFSET($H$3,0,0,'Données projet'!$E$11+1,1))</f>
        <v>287.29865338866551</v>
      </c>
      <c r="BJ66" s="62">
        <f t="shared" si="38"/>
        <v>217.57508587672368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4.3876903809096994</v>
      </c>
      <c r="BR66" s="23">
        <f>EXP(-LN(2)/2)*BR65+(1-EXP(-LN(2)/2))/(LN(2)/2)*BL66*BO66*VLOOKUP('Données projet'!$B$11,Paramètres!$A$1:$I$89,3,0)*0.475*44/12</f>
        <v>1.3882090299413121E-4</v>
      </c>
      <c r="BS66" s="24">
        <f t="shared" si="9"/>
        <v>4.3878292018126936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13.857142857142858</v>
      </c>
      <c r="N67" s="14">
        <f>IF('Données projet'!$A$36&gt;35,N66+M67-V66,IF(A67&lt;'Données projet'!$A$36,$K$205^A67,IF(A67='Données projet'!$A$36,'Données projet'!$B$36,N66+M67-V66)))</f>
        <v>467.85714285714255</v>
      </c>
      <c r="O67" s="14">
        <f>N67*VLOOKUP('Données projet'!$B$9,Paramètres!$A$1:$I$89,3,0)*VLOOKUP('Données projet'!$B$9,Paramètres!$A$1:$I$89,5,0)</f>
        <v>261.53214285714273</v>
      </c>
      <c r="P67" s="14">
        <f t="shared" si="33"/>
        <v>63.048857133846255</v>
      </c>
      <c r="Q67" s="22">
        <f t="shared" ref="Q67:Q98" si="54">(O67+P67)*0.475*44/12</f>
        <v>565.31190831763899</v>
      </c>
      <c r="R67" s="62">
        <f t="shared" ref="R67:R130" si="55">Q67+(I67+J67)*44/12</f>
        <v>858.64524165097237</v>
      </c>
      <c r="S67" s="62">
        <f ca="1">AVERAGE(OFFSET($R$3,0,0,'Données projet'!$E$9+1,1))-AVERAGE(OFFSET($H$3,0,0,'Données projet'!$E$9+1,1))</f>
        <v>302.20483575440988</v>
      </c>
      <c r="T67" s="62">
        <f t="shared" si="34"/>
        <v>275.32862097158687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8.6757725202573024</v>
      </c>
      <c r="AB67" s="23">
        <f>EXP(-LN(2)/2)*AB66+(1-EXP(-LN(2)/2))/(LN(2)/2)*V67*Y67*VLOOKUP('Données projet'!$B$9,Paramètres!$A$1:$I$89,3,0)*0.475*44/12</f>
        <v>8.3982704480631135E-5</v>
      </c>
      <c r="AC67" s="24">
        <f t="shared" si="3"/>
        <v>8.6758565029617838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175.05987582828078</v>
      </c>
      <c r="AO67" s="62">
        <f t="shared" si="36"/>
        <v>268.54782308462387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3.5376732379570166</v>
      </c>
      <c r="AW67" s="23">
        <f>EXP(-LN(2)/2)*AW66+(1-EXP(-LN(2)/2))/(LN(2)/2)*AQ67*AT67*VLOOKUP('Données projet'!$B$10,Paramètres!$A$1:$I$89,3,0)*0.475*44/12</f>
        <v>9.6503924565797167E-5</v>
      </c>
      <c r="AX67" s="23">
        <f t="shared" si="6"/>
        <v>3.5377697418815823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461.74999999999994</v>
      </c>
      <c r="BE67" s="14">
        <f>BD67*VLOOKUP('Données projet'!$B$11,Paramètres!$A$1:$I$89,3,0)*VLOOKUP('Données projet'!$B$11,Paramètres!$A$1:$I$89,5,0)</f>
        <v>276.12649999999996</v>
      </c>
      <c r="BF67" s="14">
        <f t="shared" si="37"/>
        <v>66.147764494536574</v>
      </c>
      <c r="BG67" s="22">
        <f t="shared" si="7"/>
        <v>596.12767732798443</v>
      </c>
      <c r="BH67" s="62">
        <f t="shared" si="8"/>
        <v>889.46101066131769</v>
      </c>
      <c r="BI67" s="62">
        <f ca="1">AVERAGE(OFFSET($BH$3,0,0,'Données projet'!$E$11+1,1))-AVERAGE(OFFSET($H$3,0,0,'Données projet'!$E$11+1,1))</f>
        <v>287.29865338866551</v>
      </c>
      <c r="BJ67" s="62">
        <f t="shared" si="38"/>
        <v>217.57508587672368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4.2677087567051144</v>
      </c>
      <c r="BR67" s="23">
        <f>EXP(-LN(2)/2)*BR66+(1-EXP(-LN(2)/2))/(LN(2)/2)*BL67*BO67*VLOOKUP('Données projet'!$B$11,Paramètres!$A$1:$I$89,3,0)*0.475*44/12</f>
        <v>9.8161201877590082E-5</v>
      </c>
      <c r="BS67" s="24">
        <f t="shared" si="9"/>
        <v>4.2678069179069924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13.857142857142858</v>
      </c>
      <c r="N68" s="14">
        <f>IF('Données projet'!$A$36&gt;35,N67+M68-V67,IF(A68&lt;'Données projet'!$A$36,$K$205^A68,IF(A68='Données projet'!$A$36,'Données projet'!$B$36,N67+M68-V67)))</f>
        <v>481.71428571428538</v>
      </c>
      <c r="O68" s="14">
        <f>N68*VLOOKUP('Données projet'!$B$9,Paramètres!$A$1:$I$89,3,0)*VLOOKUP('Données projet'!$B$9,Paramètres!$A$1:$I$89,5,0)</f>
        <v>269.27828571428557</v>
      </c>
      <c r="P68" s="14">
        <f t="shared" si="33"/>
        <v>64.696079449868591</v>
      </c>
      <c r="Q68" s="22">
        <f t="shared" si="54"/>
        <v>581.67201932756836</v>
      </c>
      <c r="R68" s="62">
        <f t="shared" si="55"/>
        <v>875.00535266090174</v>
      </c>
      <c r="S68" s="62">
        <f ca="1">AVERAGE(OFFSET($R$3,0,0,'Données projet'!$E$9+1,1))-AVERAGE(OFFSET($H$3,0,0,'Données projet'!$E$9+1,1))</f>
        <v>302.20483575440988</v>
      </c>
      <c r="T68" s="62">
        <f t="shared" si="34"/>
        <v>275.32862097158687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8.4385330644518177</v>
      </c>
      <c r="AB68" s="23">
        <f>EXP(-LN(2)/2)*AB67+(1-EXP(-LN(2)/2))/(LN(2)/2)*V68*Y68*VLOOKUP('Données projet'!$B$9,Paramètres!$A$1:$I$89,3,0)*0.475*44/12</f>
        <v>5.9384739840640126E-5</v>
      </c>
      <c r="AC68" s="24">
        <f t="shared" ref="AC68:AC131" si="57">SUM(Z68:AB68)</f>
        <v>8.438592449191658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175.05987582828078</v>
      </c>
      <c r="AO68" s="62">
        <f t="shared" si="36"/>
        <v>268.54782308462387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3.440935377226932</v>
      </c>
      <c r="AW68" s="23">
        <f>EXP(-LN(2)/2)*AW67+(1-EXP(-LN(2)/2))/(LN(2)/2)*AQ68*AT68*VLOOKUP('Données projet'!$B$10,Paramètres!$A$1:$I$89,3,0)*0.475*44/12</f>
        <v>6.8238579471590225E-5</v>
      </c>
      <c r="AX68" s="23">
        <f t="shared" ref="AX68:AX131" si="60">SUM(AU68:AW68)</f>
        <v>3.4410036158064035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478.37499999999994</v>
      </c>
      <c r="BE68" s="14">
        <f>BD68*VLOOKUP('Données projet'!$B$11,Paramètres!$A$1:$I$89,3,0)*VLOOKUP('Données projet'!$B$11,Paramètres!$A$1:$I$89,5,0)</f>
        <v>286.06824999999998</v>
      </c>
      <c r="BF68" s="14">
        <f t="shared" si="37"/>
        <v>68.247799922382825</v>
      </c>
      <c r="BG68" s="22">
        <f t="shared" ref="BG68:BG131" si="61">(BE68+BF68)*0.475*44/12</f>
        <v>617.10045361481673</v>
      </c>
      <c r="BH68" s="62">
        <f t="shared" ref="BH68:BH131" si="62">BG68+(AY68+AZ68)*44/12</f>
        <v>910.4337869481501</v>
      </c>
      <c r="BI68" s="62">
        <f ca="1">AVERAGE(OFFSET($BH$3,0,0,'Données projet'!$E$11+1,1))-AVERAGE(OFFSET($H$3,0,0,'Données projet'!$E$11+1,1))</f>
        <v>287.29865338866551</v>
      </c>
      <c r="BJ68" s="62">
        <f t="shared" si="38"/>
        <v>217.57508587672368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4.1510080363239634</v>
      </c>
      <c r="BR68" s="23">
        <f>EXP(-LN(2)/2)*BR67+(1-EXP(-LN(2)/2))/(LN(2)/2)*BL68*BO68*VLOOKUP('Données projet'!$B$11,Paramètres!$A$1:$I$89,3,0)*0.475*44/12</f>
        <v>6.9410451497065606E-5</v>
      </c>
      <c r="BS68" s="24">
        <f t="shared" ref="BS68:BS131" si="63">SUM(BP68:BR68)</f>
        <v>4.1510774467754601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13.857142857142858</v>
      </c>
      <c r="N69" s="14">
        <f>IF('Données projet'!$A$36&gt;35,N68+M69-V68,IF(A69&lt;'Données projet'!$A$36,$K$205^A69,IF(A69='Données projet'!$A$36,'Données projet'!$B$36,N68+M69-V68)))</f>
        <v>495.57142857142821</v>
      </c>
      <c r="O69" s="14">
        <f>N69*VLOOKUP('Données projet'!$B$9,Paramètres!$A$1:$I$89,3,0)*VLOOKUP('Données projet'!$B$9,Paramètres!$A$1:$I$89,5,0)</f>
        <v>277.02442857142842</v>
      </c>
      <c r="P69" s="14">
        <f t="shared" ref="P69:P132" si="87">EXP(-1.0587+0.8836*LN(O69)+0.284)</f>
        <v>66.337794630329327</v>
      </c>
      <c r="Q69" s="22">
        <f t="shared" si="54"/>
        <v>598.02253874306132</v>
      </c>
      <c r="R69" s="62">
        <f t="shared" si="55"/>
        <v>891.35587207639469</v>
      </c>
      <c r="S69" s="62">
        <f ca="1">AVERAGE(OFFSET($R$3,0,0,'Données projet'!$E$9+1,1))-AVERAGE(OFFSET($H$3,0,0,'Données projet'!$E$9+1,1))</f>
        <v>302.20483575440988</v>
      </c>
      <c r="T69" s="62">
        <f t="shared" ref="T69:T132" si="88">$T$3</f>
        <v>275.32862097158687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8.2077809340412156</v>
      </c>
      <c r="AB69" s="23">
        <f>EXP(-LN(2)/2)*AB68+(1-EXP(-LN(2)/2))/(LN(2)/2)*V69*Y69*VLOOKUP('Données projet'!$B$9,Paramètres!$A$1:$I$89,3,0)*0.475*44/12</f>
        <v>4.1991352240315574E-5</v>
      </c>
      <c r="AC69" s="24">
        <f t="shared" si="57"/>
        <v>8.2078229253934563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175.05987582828078</v>
      </c>
      <c r="AO69" s="62">
        <f t="shared" ref="AO69:AO132" si="90">$AO$3</f>
        <v>268.54782308462387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3.3468428183857344</v>
      </c>
      <c r="AW69" s="23">
        <f>EXP(-LN(2)/2)*AW68+(1-EXP(-LN(2)/2))/(LN(2)/2)*AQ69*AT69*VLOOKUP('Données projet'!$B$10,Paramètres!$A$1:$I$89,3,0)*0.475*44/12</f>
        <v>4.8251962282898583E-5</v>
      </c>
      <c r="AX69" s="23">
        <f t="shared" si="60"/>
        <v>3.3468910703480175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495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494.99999999999994</v>
      </c>
      <c r="BE69" s="14">
        <f>BD69*VLOOKUP('Données projet'!$B$11,Paramètres!$A$1:$I$89,3,0)*VLOOKUP('Données projet'!$B$11,Paramètres!$A$1:$I$89,5,0)</f>
        <v>296.01</v>
      </c>
      <c r="BF69" s="14">
        <f t="shared" ref="BF69:BF132" si="91">EXP(-1.0587+0.8836*LN(BE69)+0.284)</f>
        <v>70.339355522692159</v>
      </c>
      <c r="BG69" s="22">
        <f t="shared" si="61"/>
        <v>638.05846086868871</v>
      </c>
      <c r="BH69" s="62">
        <f t="shared" si="62"/>
        <v>931.39179420202208</v>
      </c>
      <c r="BI69" s="62">
        <f ca="1">AVERAGE(OFFSET($BH$3,0,0,'Données projet'!$E$11+1,1))-AVERAGE(OFFSET($H$3,0,0,'Données projet'!$E$11+1,1))</f>
        <v>287.29865338866551</v>
      </c>
      <c r="BJ69" s="62">
        <f t="shared" ref="BJ69:BJ132" si="92">$BJ$3</f>
        <v>217.57508587672368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4.037498503278659</v>
      </c>
      <c r="BR69" s="23">
        <f>EXP(-LN(2)/2)*BR68+(1-EXP(-LN(2)/2))/(LN(2)/2)*BL69*BO69*VLOOKUP('Données projet'!$B$11,Paramètres!$A$1:$I$89,3,0)*0.475*44/12</f>
        <v>4.9080600938795041E-5</v>
      </c>
      <c r="BS69" s="24">
        <f t="shared" si="63"/>
        <v>4.037547583879598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13.857142857142858</v>
      </c>
      <c r="N70" s="14">
        <f>IF('Données projet'!$A$36&gt;35,N69+M70-V69,IF(A70&lt;'Données projet'!$A$36,$K$205^A70,IF(A70='Données projet'!$A$36,'Données projet'!$B$36,N69+M70-V69)))</f>
        <v>509.42857142857105</v>
      </c>
      <c r="O70" s="14">
        <f>N70*VLOOKUP('Données projet'!$B$9,Paramètres!$A$1:$I$89,3,0)*VLOOKUP('Données projet'!$B$9,Paramètres!$A$1:$I$89,5,0)</f>
        <v>284.77057142857126</v>
      </c>
      <c r="P70" s="14">
        <f t="shared" si="87"/>
        <v>67.974174355789401</v>
      </c>
      <c r="Q70" s="22">
        <f t="shared" si="54"/>
        <v>614.36376557442816</v>
      </c>
      <c r="R70" s="62">
        <f t="shared" si="55"/>
        <v>907.69709890776153</v>
      </c>
      <c r="S70" s="62">
        <f ca="1">AVERAGE(OFFSET($R$3,0,0,'Données projet'!$E$9+1,1))-AVERAGE(OFFSET($H$3,0,0,'Données projet'!$E$9+1,1))</f>
        <v>302.20483575440988</v>
      </c>
      <c r="T70" s="62">
        <f t="shared" si="88"/>
        <v>275.32862097158687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7.9833387327714185</v>
      </c>
      <c r="AB70" s="23">
        <f>EXP(-LN(2)/2)*AB69+(1-EXP(-LN(2)/2))/(LN(2)/2)*V70*Y70*VLOOKUP('Données projet'!$B$9,Paramètres!$A$1:$I$89,3,0)*0.475*44/12</f>
        <v>2.969236992032007E-5</v>
      </c>
      <c r="AC70" s="24">
        <f t="shared" si="57"/>
        <v>7.9833684251413386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175.05987582828078</v>
      </c>
      <c r="AO70" s="62">
        <f t="shared" si="90"/>
        <v>268.54782308462387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3.2553232255141618</v>
      </c>
      <c r="AW70" s="23">
        <f>EXP(-LN(2)/2)*AW69+(1-EXP(-LN(2)/2))/(LN(2)/2)*AQ70*AT70*VLOOKUP('Données projet'!$B$10,Paramètres!$A$1:$I$89,3,0)*0.475*44/12</f>
        <v>3.4119289735795113E-5</v>
      </c>
      <c r="AX70" s="23">
        <f t="shared" si="60"/>
        <v>3.2553573448038975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442.87499999999994</v>
      </c>
      <c r="BE70" s="14">
        <f>BD70*VLOOKUP('Données projet'!$B$11,Paramètres!$A$1:$I$89,3,0)*VLOOKUP('Données projet'!$B$11,Paramètres!$A$1:$I$89,5,0)</f>
        <v>264.83924999999999</v>
      </c>
      <c r="BF70" s="14">
        <f t="shared" si="91"/>
        <v>63.752800756768096</v>
      </c>
      <c r="BG70" s="22">
        <f t="shared" si="61"/>
        <v>572.29782173470437</v>
      </c>
      <c r="BH70" s="62">
        <f t="shared" si="62"/>
        <v>865.63115506803774</v>
      </c>
      <c r="BI70" s="62">
        <f ca="1">AVERAGE(OFFSET($BH$3,0,0,'Données projet'!$E$11+1,1))-AVERAGE(OFFSET($H$3,0,0,'Données projet'!$E$11+1,1))</f>
        <v>287.29865338866551</v>
      </c>
      <c r="BJ70" s="62">
        <f t="shared" si="92"/>
        <v>217.57508587672368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3.9270928943836858</v>
      </c>
      <c r="BR70" s="23">
        <f>EXP(-LN(2)/2)*BR69+(1-EXP(-LN(2)/2))/(LN(2)/2)*BL70*BO70*VLOOKUP('Données projet'!$B$11,Paramètres!$A$1:$I$89,3,0)*0.475*44/12</f>
        <v>3.4705225748532803E-5</v>
      </c>
      <c r="BS70" s="24">
        <f t="shared" si="63"/>
        <v>3.9271275996094341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13.857142857142858</v>
      </c>
      <c r="N71" s="14">
        <f>IF('Données projet'!$A$36&gt;35,N70+M71-V70,IF(A71&lt;'Données projet'!$A$36,$K$205^A71,IF(A71='Données projet'!$A$36,'Données projet'!$B$36,N70+M71-V70)))</f>
        <v>523.28571428571388</v>
      </c>
      <c r="O71" s="14">
        <f>N71*VLOOKUP('Données projet'!$B$9,Paramètres!$A$1:$I$89,3,0)*VLOOKUP('Données projet'!$B$9,Paramètres!$A$1:$I$89,5,0)</f>
        <v>292.5167142857141</v>
      </c>
      <c r="P71" s="14">
        <f t="shared" si="87"/>
        <v>69.605380435295899</v>
      </c>
      <c r="Q71" s="22">
        <f t="shared" si="54"/>
        <v>630.69598163909245</v>
      </c>
      <c r="R71" s="62">
        <f t="shared" si="55"/>
        <v>924.02931497242571</v>
      </c>
      <c r="S71" s="62">
        <f ca="1">AVERAGE(OFFSET($R$3,0,0,'Données projet'!$E$9+1,1))-AVERAGE(OFFSET($H$3,0,0,'Données projet'!$E$9+1,1))</f>
        <v>302.20483575440988</v>
      </c>
      <c r="T71" s="62">
        <f t="shared" si="88"/>
        <v>275.32862097158687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7.7650339152982459</v>
      </c>
      <c r="AB71" s="23">
        <f>EXP(-LN(2)/2)*AB70+(1-EXP(-LN(2)/2))/(LN(2)/2)*V71*Y71*VLOOKUP('Données projet'!$B$9,Paramètres!$A$1:$I$89,3,0)*0.475*44/12</f>
        <v>2.0995676120157791E-5</v>
      </c>
      <c r="AC71" s="24">
        <f t="shared" si="57"/>
        <v>7.7650549109743663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175.05987582828078</v>
      </c>
      <c r="AO71" s="62">
        <f t="shared" si="90"/>
        <v>268.54782308462387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3.1663062407224687</v>
      </c>
      <c r="AW71" s="23">
        <f>EXP(-LN(2)/2)*AW70+(1-EXP(-LN(2)/2))/(LN(2)/2)*AQ71*AT71*VLOOKUP('Données projet'!$B$10,Paramètres!$A$1:$I$89,3,0)*0.475*44/12</f>
        <v>2.4125981141449292E-5</v>
      </c>
      <c r="AX71" s="23">
        <f t="shared" si="60"/>
        <v>3.16633036670361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455.74999999999994</v>
      </c>
      <c r="BE71" s="14">
        <f>BD71*VLOOKUP('Données projet'!$B$11,Paramètres!$A$1:$I$89,3,0)*VLOOKUP('Données projet'!$B$11,Paramètres!$A$1:$I$89,5,0)</f>
        <v>272.5385</v>
      </c>
      <c r="BF71" s="14">
        <f t="shared" si="91"/>
        <v>65.387709293034902</v>
      </c>
      <c r="BG71" s="22">
        <f t="shared" si="61"/>
        <v>588.55481451870241</v>
      </c>
      <c r="BH71" s="62">
        <f t="shared" si="62"/>
        <v>881.88814785203567</v>
      </c>
      <c r="BI71" s="62">
        <f ca="1">AVERAGE(OFFSET($BH$3,0,0,'Données projet'!$E$11+1,1))-AVERAGE(OFFSET($H$3,0,0,'Données projet'!$E$11+1,1))</f>
        <v>287.29865338866551</v>
      </c>
      <c r="BJ71" s="62">
        <f t="shared" si="92"/>
        <v>217.57508587672368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3.8197063326699241</v>
      </c>
      <c r="BR71" s="23">
        <f>EXP(-LN(2)/2)*BR70+(1-EXP(-LN(2)/2))/(LN(2)/2)*BL71*BO71*VLOOKUP('Données projet'!$B$11,Paramètres!$A$1:$I$89,3,0)*0.475*44/12</f>
        <v>2.454030046939752E-5</v>
      </c>
      <c r="BS71" s="24">
        <f t="shared" si="63"/>
        <v>3.8197308729703936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13.857142857142858</v>
      </c>
      <c r="N72" s="14">
        <f>IF('Données projet'!$A$36&gt;35,N71+M72-V71,IF(A72&lt;'Données projet'!$A$36,$K$205^A72,IF(A72='Données projet'!$A$36,'Données projet'!$B$36,N71+M72-V71)))</f>
        <v>537.14285714285677</v>
      </c>
      <c r="O72" s="14">
        <f>N72*VLOOKUP('Données projet'!$B$9,Paramètres!$A$1:$I$89,3,0)*VLOOKUP('Données projet'!$B$9,Paramètres!$A$1:$I$89,5,0)</f>
        <v>300.26285714285694</v>
      </c>
      <c r="P72" s="14">
        <f t="shared" si="87"/>
        <v>71.231565620163408</v>
      </c>
      <c r="Q72" s="22">
        <f t="shared" si="54"/>
        <v>647.01945297892712</v>
      </c>
      <c r="R72" s="62">
        <f t="shared" si="55"/>
        <v>940.35278631226038</v>
      </c>
      <c r="S72" s="62">
        <f ca="1">AVERAGE(OFFSET($R$3,0,0,'Données projet'!$E$9+1,1))-AVERAGE(OFFSET($H$3,0,0,'Données projet'!$E$9+1,1))</f>
        <v>302.20483575440988</v>
      </c>
      <c r="T72" s="62">
        <f t="shared" si="88"/>
        <v>275.32862097158687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7.5526986545390287</v>
      </c>
      <c r="AB72" s="23">
        <f>EXP(-LN(2)/2)*AB71+(1-EXP(-LN(2)/2))/(LN(2)/2)*V72*Y72*VLOOKUP('Données projet'!$B$9,Paramètres!$A$1:$I$89,3,0)*0.475*44/12</f>
        <v>1.4846184960160037E-5</v>
      </c>
      <c r="AC72" s="24">
        <f t="shared" si="57"/>
        <v>7.5527135007239892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175.05987582828078</v>
      </c>
      <c r="AO72" s="62">
        <f t="shared" si="90"/>
        <v>268.54782308462387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3.0797234300611045</v>
      </c>
      <c r="AW72" s="23">
        <f>EXP(-LN(2)/2)*AW71+(1-EXP(-LN(2)/2))/(LN(2)/2)*AQ72*AT72*VLOOKUP('Données projet'!$B$10,Paramètres!$A$1:$I$89,3,0)*0.475*44/12</f>
        <v>1.7059644867897556E-5</v>
      </c>
      <c r="AX72" s="23">
        <f t="shared" si="60"/>
        <v>3.0797404897059724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468.62499999999994</v>
      </c>
      <c r="BE72" s="14">
        <f>BD72*VLOOKUP('Données projet'!$B$11,Paramètres!$A$1:$I$89,3,0)*VLOOKUP('Données projet'!$B$11,Paramètres!$A$1:$I$89,5,0)</f>
        <v>280.23775000000001</v>
      </c>
      <c r="BF72" s="14">
        <f t="shared" si="91"/>
        <v>67.017249808465152</v>
      </c>
      <c r="BG72" s="22">
        <f t="shared" si="61"/>
        <v>604.80245799974352</v>
      </c>
      <c r="BH72" s="62">
        <f t="shared" si="62"/>
        <v>898.1357913330769</v>
      </c>
      <c r="BI72" s="62">
        <f ca="1">AVERAGE(OFFSET($BH$3,0,0,'Données projet'!$E$11+1,1))-AVERAGE(OFFSET($H$3,0,0,'Données projet'!$E$11+1,1))</f>
        <v>287.29865338866551</v>
      </c>
      <c r="BJ72" s="62">
        <f t="shared" si="92"/>
        <v>217.57508587672368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3.7152562621334391</v>
      </c>
      <c r="BR72" s="23">
        <f>EXP(-LN(2)/2)*BR71+(1-EXP(-LN(2)/2))/(LN(2)/2)*BL72*BO72*VLOOKUP('Données projet'!$B$11,Paramètres!$A$1:$I$89,3,0)*0.475*44/12</f>
        <v>1.7352612874266402E-5</v>
      </c>
      <c r="BS72" s="24">
        <f t="shared" si="63"/>
        <v>3.7152736147463132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551</v>
      </c>
      <c r="L73" s="13">
        <f>VLOOKUP(A73,'Données projet'!$A$35:$I$55,9,0)</f>
        <v>13.857142857142858</v>
      </c>
      <c r="M73" s="13">
        <f t="array" ref="M73">INDEX(L:L,MIN(IF(ISNUMBER(L73:L269),ROW(L73:L269),"")))</f>
        <v>13.857142857142858</v>
      </c>
      <c r="N73" s="14">
        <f>IF('Données projet'!$A$36&gt;35,N72+M73-V72,IF(A73&lt;'Données projet'!$A$36,$K$205^A73,IF(A73='Données projet'!$A$36,'Données projet'!$B$36,N72+M73-V72)))</f>
        <v>550.99999999999966</v>
      </c>
      <c r="O73" s="14">
        <f>N73*VLOOKUP('Données projet'!$B$9,Paramètres!$A$1:$I$89,3,0)*VLOOKUP('Données projet'!$B$9,Paramètres!$A$1:$I$89,5,0)</f>
        <v>308.00899999999979</v>
      </c>
      <c r="P73" s="14">
        <f t="shared" si="87"/>
        <v>72.852874331417695</v>
      </c>
      <c r="Q73" s="22">
        <f t="shared" si="54"/>
        <v>663.33443112721886</v>
      </c>
      <c r="R73" s="62">
        <f t="shared" si="55"/>
        <v>956.66776446055223</v>
      </c>
      <c r="S73" s="62">
        <f ca="1">AVERAGE(OFFSET($R$3,0,0,'Données projet'!$E$9+1,1))-AVERAGE(OFFSET($H$3,0,0,'Données projet'!$E$9+1,1))</f>
        <v>302.20483575440988</v>
      </c>
      <c r="T73" s="62">
        <f t="shared" si="88"/>
        <v>275.32862097158687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551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7.3461697126514984</v>
      </c>
      <c r="AB73" s="23">
        <f>EXP(-LN(2)/2)*AB72+(1-EXP(-LN(2)/2))/(LN(2)/2)*V73*Y73*VLOOKUP('Données projet'!$B$9,Paramètres!$A$1:$I$89,3,0)*0.475*44/12</f>
        <v>1.0497838060078897E-5</v>
      </c>
      <c r="AC73" s="24">
        <f t="shared" si="57"/>
        <v>7.3461802104895586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175.05987582828078</v>
      </c>
      <c r="AO73" s="62">
        <f t="shared" si="90"/>
        <v>268.54782308462387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2.9955082309104673</v>
      </c>
      <c r="AW73" s="23">
        <f>EXP(-LN(2)/2)*AW72+(1-EXP(-LN(2)/2))/(LN(2)/2)*AQ73*AT73*VLOOKUP('Données projet'!$B$10,Paramètres!$A$1:$I$89,3,0)*0.475*44/12</f>
        <v>1.2062990570724646E-5</v>
      </c>
      <c r="AX73" s="23">
        <f t="shared" si="60"/>
        <v>2.9955202939010381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481.49999999999994</v>
      </c>
      <c r="BE73" s="14">
        <f>BD73*VLOOKUP('Données projet'!$B$11,Paramètres!$A$1:$I$89,3,0)*VLOOKUP('Données projet'!$B$11,Paramètres!$A$1:$I$89,5,0)</f>
        <v>287.93700000000001</v>
      </c>
      <c r="BF73" s="14">
        <f t="shared" si="91"/>
        <v>68.641586729718156</v>
      </c>
      <c r="BG73" s="22">
        <f t="shared" si="61"/>
        <v>621.04103855425899</v>
      </c>
      <c r="BH73" s="62">
        <f t="shared" si="62"/>
        <v>914.37437188759236</v>
      </c>
      <c r="BI73" s="62">
        <f ca="1">AVERAGE(OFFSET($BH$3,0,0,'Données projet'!$E$11+1,1))-AVERAGE(OFFSET($H$3,0,0,'Données projet'!$E$11+1,1))</f>
        <v>287.29865338866551</v>
      </c>
      <c r="BJ73" s="62">
        <f t="shared" si="92"/>
        <v>217.57508587672368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3.6136623842685647</v>
      </c>
      <c r="BR73" s="23">
        <f>EXP(-LN(2)/2)*BR72+(1-EXP(-LN(2)/2))/(LN(2)/2)*BL73*BO73*VLOOKUP('Données projet'!$B$11,Paramètres!$A$1:$I$89,3,0)*0.475*44/12</f>
        <v>1.227015023469876E-5</v>
      </c>
      <c r="BS73" s="24">
        <f t="shared" si="63"/>
        <v>3.6136746544187992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projet'!$B$9,Paramètres!$A$1:$I$89,3,0)*VLOOKUP('Données projet'!$B$9,Paramètres!$A$1:$I$89,5,0)</f>
        <v>-1.9065282685915009E-13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302.20483575440988</v>
      </c>
      <c r="T74" s="62">
        <f t="shared" si="88"/>
        <v>275.32862097158687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7.1452883155407676</v>
      </c>
      <c r="AB74" s="23">
        <f>EXP(-LN(2)/2)*AB73+(1-EXP(-LN(2)/2))/(LN(2)/2)*V74*Y74*VLOOKUP('Données projet'!$B$9,Paramètres!$A$1:$I$89,3,0)*0.475*44/12</f>
        <v>7.42309248008002E-6</v>
      </c>
      <c r="AC74" s="24">
        <f t="shared" si="57"/>
        <v>7.1452957386332479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175.05987582828078</v>
      </c>
      <c r="AO74" s="62">
        <f t="shared" si="90"/>
        <v>268.54782308462387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2.9135959008092889</v>
      </c>
      <c r="AW74" s="23">
        <f>EXP(-LN(2)/2)*AW73+(1-EXP(-LN(2)/2))/(LN(2)/2)*AQ74*AT74*VLOOKUP('Données projet'!$B$10,Paramètres!$A$1:$I$89,3,0)*0.475*44/12</f>
        <v>8.5298224339487781E-6</v>
      </c>
      <c r="AX74" s="23">
        <f t="shared" si="60"/>
        <v>2.913604430631723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494.37499999999994</v>
      </c>
      <c r="BE74" s="14">
        <f>BD74*VLOOKUP('Données projet'!$B$11,Paramètres!$A$1:$I$89,3,0)*VLOOKUP('Données projet'!$B$11,Paramètres!$A$1:$I$89,5,0)</f>
        <v>295.63625000000002</v>
      </c>
      <c r="BF74" s="14">
        <f t="shared" si="91"/>
        <v>70.260875189476423</v>
      </c>
      <c r="BG74" s="22">
        <f t="shared" si="61"/>
        <v>637.27082637167155</v>
      </c>
      <c r="BH74" s="62">
        <f t="shared" si="62"/>
        <v>930.6041597050048</v>
      </c>
      <c r="BI74" s="62">
        <f ca="1">AVERAGE(OFFSET($BH$3,0,0,'Données projet'!$E$11+1,1))-AVERAGE(OFFSET($H$3,0,0,'Données projet'!$E$11+1,1))</f>
        <v>287.29865338866551</v>
      </c>
      <c r="BJ74" s="62">
        <f t="shared" si="92"/>
        <v>217.57508587672368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3.5148465963364952</v>
      </c>
      <c r="BR74" s="23">
        <f>EXP(-LN(2)/2)*BR73+(1-EXP(-LN(2)/2))/(LN(2)/2)*BL74*BO74*VLOOKUP('Données projet'!$B$11,Paramètres!$A$1:$I$89,3,0)*0.475*44/12</f>
        <v>8.6763064371332008E-6</v>
      </c>
      <c r="BS74" s="24">
        <f t="shared" si="63"/>
        <v>3.5148552726429325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projet'!$B$9,Paramètres!$A$1:$I$89,3,0)*VLOOKUP('Données projet'!$B$9,Paramètres!$A$1:$I$89,5,0)</f>
        <v>-1.9065282685915009E-13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302.20483575440988</v>
      </c>
      <c r="T75" s="62">
        <f t="shared" si="88"/>
        <v>275.32862097158687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6.9499000307979237</v>
      </c>
      <c r="AB75" s="23">
        <f>EXP(-LN(2)/2)*AB74+(1-EXP(-LN(2)/2))/(LN(2)/2)*V75*Y75*VLOOKUP('Données projet'!$B$9,Paramètres!$A$1:$I$89,3,0)*0.475*44/12</f>
        <v>5.2489190300394493E-6</v>
      </c>
      <c r="AC75" s="24">
        <f t="shared" si="57"/>
        <v>6.9499052797169538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175.05987582828078</v>
      </c>
      <c r="AO75" s="62">
        <f t="shared" si="90"/>
        <v>268.54782308462387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2.8339234676823097</v>
      </c>
      <c r="AW75" s="23">
        <f>EXP(-LN(2)/2)*AW74+(1-EXP(-LN(2)/2))/(LN(2)/2)*AQ75*AT75*VLOOKUP('Données projet'!$B$10,Paramètres!$A$1:$I$89,3,0)*0.475*44/12</f>
        <v>6.0314952853623229E-6</v>
      </c>
      <c r="AX75" s="23">
        <f t="shared" si="60"/>
        <v>2.8339294991775952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507.24999999999994</v>
      </c>
      <c r="BE75" s="14">
        <f>BD75*VLOOKUP('Données projet'!$B$11,Paramètres!$A$1:$I$89,3,0)*VLOOKUP('Données projet'!$B$11,Paramètres!$A$1:$I$89,5,0)</f>
        <v>303.33549999999997</v>
      </c>
      <c r="BF75" s="14">
        <f t="shared" si="91"/>
        <v>71.875261779950591</v>
      </c>
      <c r="BG75" s="22">
        <f t="shared" si="61"/>
        <v>653.49207676674712</v>
      </c>
      <c r="BH75" s="62">
        <f t="shared" si="62"/>
        <v>946.82541010008049</v>
      </c>
      <c r="BI75" s="62">
        <f ca="1">AVERAGE(OFFSET($BH$3,0,0,'Données projet'!$E$11+1,1))-AVERAGE(OFFSET($H$3,0,0,'Données projet'!$E$11+1,1))</f>
        <v>287.29865338866551</v>
      </c>
      <c r="BJ75" s="62">
        <f t="shared" si="92"/>
        <v>217.57508587672368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3.4187329313219244</v>
      </c>
      <c r="BR75" s="23">
        <f>EXP(-LN(2)/2)*BR74+(1-EXP(-LN(2)/2))/(LN(2)/2)*BL75*BO75*VLOOKUP('Données projet'!$B$11,Paramètres!$A$1:$I$89,3,0)*0.475*44/12</f>
        <v>6.1350751173493801E-6</v>
      </c>
      <c r="BS75" s="24">
        <f t="shared" si="63"/>
        <v>3.4187390663970416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projet'!$B$9,Paramètres!$A$1:$I$89,3,0)*VLOOKUP('Données projet'!$B$9,Paramètres!$A$1:$I$89,5,0)</f>
        <v>-1.9065282685915009E-13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302.20483575440988</v>
      </c>
      <c r="T76" s="62">
        <f t="shared" si="88"/>
        <v>275.32862097158687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6.759854648976396</v>
      </c>
      <c r="AB76" s="23">
        <f>EXP(-LN(2)/2)*AB75+(1-EXP(-LN(2)/2))/(LN(2)/2)*V76*Y76*VLOOKUP('Données projet'!$B$9,Paramètres!$A$1:$I$89,3,0)*0.475*44/12</f>
        <v>3.7115462400400104E-6</v>
      </c>
      <c r="AC76" s="24">
        <f t="shared" si="57"/>
        <v>6.7598583605226361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175.05987582828078</v>
      </c>
      <c r="AO76" s="62">
        <f t="shared" si="90"/>
        <v>268.54782308462387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2.7564296814289788</v>
      </c>
      <c r="AW76" s="23">
        <f>EXP(-LN(2)/2)*AW75+(1-EXP(-LN(2)/2))/(LN(2)/2)*AQ76*AT76*VLOOKUP('Données projet'!$B$10,Paramètres!$A$1:$I$89,3,0)*0.475*44/12</f>
        <v>4.2649112169743891E-6</v>
      </c>
      <c r="AX76" s="23">
        <f t="shared" si="60"/>
        <v>2.7564339463401959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520.125</v>
      </c>
      <c r="BE76" s="14">
        <f>BD76*VLOOKUP('Données projet'!$B$11,Paramètres!$A$1:$I$89,3,0)*VLOOKUP('Données projet'!$B$11,Paramètres!$A$1:$I$89,5,0)</f>
        <v>311.03475000000003</v>
      </c>
      <c r="BF76" s="14">
        <f t="shared" si="91"/>
        <v>73.484885227728896</v>
      </c>
      <c r="BG76" s="22">
        <f t="shared" si="61"/>
        <v>669.70503135496119</v>
      </c>
      <c r="BH76" s="62">
        <f t="shared" si="62"/>
        <v>963.03836468829445</v>
      </c>
      <c r="BI76" s="62">
        <f ca="1">AVERAGE(OFFSET($BH$3,0,0,'Données projet'!$E$11+1,1))-AVERAGE(OFFSET($H$3,0,0,'Données projet'!$E$11+1,1))</f>
        <v>287.29865338866551</v>
      </c>
      <c r="BJ76" s="62">
        <f t="shared" si="92"/>
        <v>217.57508587672368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3.3252474995315753</v>
      </c>
      <c r="BR76" s="23">
        <f>EXP(-LN(2)/2)*BR75+(1-EXP(-LN(2)/2))/(LN(2)/2)*BL76*BO76*VLOOKUP('Données projet'!$B$11,Paramètres!$A$1:$I$89,3,0)*0.475*44/12</f>
        <v>4.3381532185666004E-6</v>
      </c>
      <c r="BS76" s="24">
        <f t="shared" si="63"/>
        <v>3.3252518376847937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projet'!$B$9,Paramètres!$A$1:$I$89,3,0)*VLOOKUP('Données projet'!$B$9,Paramètres!$A$1:$I$89,5,0)</f>
        <v>-1.9065282685915009E-13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302.20483575440988</v>
      </c>
      <c r="T77" s="62">
        <f t="shared" si="88"/>
        <v>275.32862097158687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6.5750060681148303</v>
      </c>
      <c r="AB77" s="23">
        <f>EXP(-LN(2)/2)*AB76+(1-EXP(-LN(2)/2))/(LN(2)/2)*V77*Y77*VLOOKUP('Données projet'!$B$9,Paramètres!$A$1:$I$89,3,0)*0.475*44/12</f>
        <v>2.6244595150197251E-6</v>
      </c>
      <c r="AC77" s="24">
        <f t="shared" si="57"/>
        <v>6.5750086925743449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175.05987582828078</v>
      </c>
      <c r="AO77" s="62">
        <f t="shared" si="90"/>
        <v>268.54782308462387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2.6810549668359664</v>
      </c>
      <c r="AW77" s="23">
        <f>EXP(-LN(2)/2)*AW76+(1-EXP(-LN(2)/2))/(LN(2)/2)*AQ77*AT77*VLOOKUP('Données projet'!$B$10,Paramètres!$A$1:$I$89,3,0)*0.475*44/12</f>
        <v>3.0157476426811615E-6</v>
      </c>
      <c r="AX77" s="23">
        <f t="shared" si="60"/>
        <v>2.6810579825836092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533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533</v>
      </c>
      <c r="BE77" s="14">
        <f>BD77*VLOOKUP('Données projet'!$B$11,Paramètres!$A$1:$I$89,3,0)*VLOOKUP('Données projet'!$B$11,Paramètres!$A$1:$I$89,5,0)</f>
        <v>318.73400000000004</v>
      </c>
      <c r="BF77" s="14">
        <f t="shared" si="91"/>
        <v>75.089876999925679</v>
      </c>
      <c r="BG77" s="22">
        <f t="shared" si="61"/>
        <v>685.90991910820378</v>
      </c>
      <c r="BH77" s="62">
        <f t="shared" si="62"/>
        <v>979.24325244153715</v>
      </c>
      <c r="BI77" s="62">
        <f ca="1">AVERAGE(OFFSET($BH$3,0,0,'Données projet'!$E$11+1,1))-AVERAGE(OFFSET($H$3,0,0,'Données projet'!$E$11+1,1))</f>
        <v>287.29865338866551</v>
      </c>
      <c r="BJ77" s="62">
        <f t="shared" si="92"/>
        <v>217.57508587672368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3.2343184317897182</v>
      </c>
      <c r="BR77" s="23">
        <f>EXP(-LN(2)/2)*BR76+(1-EXP(-LN(2)/2))/(LN(2)/2)*BL77*BO77*VLOOKUP('Données projet'!$B$11,Paramètres!$A$1:$I$89,3,0)*0.475*44/12</f>
        <v>3.0675375586746901E-6</v>
      </c>
      <c r="BS77" s="24">
        <f t="shared" si="63"/>
        <v>3.2343214993272769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projet'!$B$9,Paramètres!$A$1:$I$89,3,0)*VLOOKUP('Données projet'!$B$9,Paramètres!$A$1:$I$89,5,0)</f>
        <v>-1.9065282685915009E-13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302.20483575440988</v>
      </c>
      <c r="T78" s="62">
        <f t="shared" si="88"/>
        <v>275.32862097158687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6.3952121814176888</v>
      </c>
      <c r="AB78" s="23">
        <f>EXP(-LN(2)/2)*AB77+(1-EXP(-LN(2)/2))/(LN(2)/2)*V78*Y78*VLOOKUP('Données projet'!$B$9,Paramètres!$A$1:$I$89,3,0)*0.475*44/12</f>
        <v>1.8557731200200054E-6</v>
      </c>
      <c r="AC78" s="24">
        <f t="shared" si="57"/>
        <v>6.3952140371908088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175.05987582828078</v>
      </c>
      <c r="AO78" s="62">
        <f t="shared" si="90"/>
        <v>268.54782308462387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2.607741377777284</v>
      </c>
      <c r="AW78" s="23">
        <f>EXP(-LN(2)/2)*AW77+(1-EXP(-LN(2)/2))/(LN(2)/2)*AQ78*AT78*VLOOKUP('Données projet'!$B$10,Paramètres!$A$1:$I$89,3,0)*0.475*44/12</f>
        <v>2.1324556084871945E-6</v>
      </c>
      <c r="AX78" s="23">
        <f t="shared" si="60"/>
        <v>2.6077435102328925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5.625</v>
      </c>
      <c r="BD78" s="13">
        <f>IF('Données projet'!$A$88&gt;35,BD77+BC78-BL77,IF(A78&lt;'Données projet'!$A$88,$BA$205^A78,IF(A78='Données projet'!$A$88,'Données projet'!$B$88,BD77+BC78-BL77)))</f>
        <v>501.625</v>
      </c>
      <c r="BE78" s="14">
        <f>BD78*VLOOKUP('Données projet'!$B$11,Paramètres!$A$1:$I$89,3,0)*VLOOKUP('Données projet'!$B$11,Paramètres!$A$1:$I$89,5,0)</f>
        <v>299.97174999999999</v>
      </c>
      <c r="BF78" s="14">
        <f t="shared" si="91"/>
        <v>71.170541158135549</v>
      </c>
      <c r="BG78" s="22">
        <f t="shared" si="61"/>
        <v>646.40615710041936</v>
      </c>
      <c r="BH78" s="62">
        <f t="shared" si="62"/>
        <v>939.73949043375274</v>
      </c>
      <c r="BI78" s="62">
        <f ca="1">AVERAGE(OFFSET($BH$3,0,0,'Données projet'!$E$11+1,1))-AVERAGE(OFFSET($H$3,0,0,'Données projet'!$E$11+1,1))</f>
        <v>287.29865338866551</v>
      </c>
      <c r="BJ78" s="62">
        <f t="shared" si="92"/>
        <v>217.57508587672368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3.1458758241870144</v>
      </c>
      <c r="BR78" s="23">
        <f>EXP(-LN(2)/2)*BR77+(1-EXP(-LN(2)/2))/(LN(2)/2)*BL78*BO78*VLOOKUP('Données projet'!$B$11,Paramètres!$A$1:$I$89,3,0)*0.475*44/12</f>
        <v>2.1690766092833002E-6</v>
      </c>
      <c r="BS78" s="24">
        <f t="shared" si="63"/>
        <v>3.1458779932636238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projet'!$B$9,Paramètres!$A$1:$I$89,3,0)*VLOOKUP('Données projet'!$B$9,Paramètres!$A$1:$I$89,5,0)</f>
        <v>-1.9065282685915009E-13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302.20483575440988</v>
      </c>
      <c r="T79" s="62">
        <f t="shared" si="88"/>
        <v>275.32862097158687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6.2203347680072296</v>
      </c>
      <c r="AB79" s="23">
        <f>EXP(-LN(2)/2)*AB78+(1-EXP(-LN(2)/2))/(LN(2)/2)*V79*Y79*VLOOKUP('Données projet'!$B$9,Paramètres!$A$1:$I$89,3,0)*0.475*44/12</f>
        <v>1.3122297575098628E-6</v>
      </c>
      <c r="AC79" s="24">
        <f t="shared" si="57"/>
        <v>6.2203360802369874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175.05987582828078</v>
      </c>
      <c r="AO79" s="62">
        <f t="shared" si="90"/>
        <v>268.54782308462387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2.5364325526668052</v>
      </c>
      <c r="AW79" s="23">
        <f>EXP(-LN(2)/2)*AW78+(1-EXP(-LN(2)/2))/(LN(2)/2)*AQ79*AT79*VLOOKUP('Données projet'!$B$10,Paramètres!$A$1:$I$89,3,0)*0.475*44/12</f>
        <v>1.5078738213405807E-6</v>
      </c>
      <c r="AX79" s="23">
        <f t="shared" si="60"/>
        <v>2.5364340605406266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5.625</v>
      </c>
      <c r="BD79" s="13">
        <f>IF('Données projet'!$A$88&gt;35,BD78+BC79-BL78,IF(A79&lt;'Données projet'!$A$88,$BA$205^A79,IF(A79='Données projet'!$A$88,'Données projet'!$B$88,BD78+BC79-BL78)))</f>
        <v>507.25</v>
      </c>
      <c r="BE79" s="14">
        <f>BD79*VLOOKUP('Données projet'!$B$11,Paramètres!$A$1:$I$89,3,0)*VLOOKUP('Données projet'!$B$11,Paramètres!$A$1:$I$89,5,0)</f>
        <v>303.33550000000002</v>
      </c>
      <c r="BF79" s="14">
        <f t="shared" si="91"/>
        <v>71.875261779950591</v>
      </c>
      <c r="BG79" s="22">
        <f t="shared" si="61"/>
        <v>653.49207676674735</v>
      </c>
      <c r="BH79" s="62">
        <f t="shared" si="62"/>
        <v>946.82541010008072</v>
      </c>
      <c r="BI79" s="62">
        <f ca="1">AVERAGE(OFFSET($BH$3,0,0,'Données projet'!$E$11+1,1))-AVERAGE(OFFSET($H$3,0,0,'Données projet'!$E$11+1,1))</f>
        <v>287.29865338866551</v>
      </c>
      <c r="BJ79" s="62">
        <f t="shared" si="92"/>
        <v>217.57508587672368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3.0598516843402011</v>
      </c>
      <c r="BR79" s="23">
        <f>EXP(-LN(2)/2)*BR78+(1-EXP(-LN(2)/2))/(LN(2)/2)*BL79*BO79*VLOOKUP('Données projet'!$B$11,Paramètres!$A$1:$I$89,3,0)*0.475*44/12</f>
        <v>1.533768779337345E-6</v>
      </c>
      <c r="BS79" s="24">
        <f t="shared" si="63"/>
        <v>3.0598532181089806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projet'!$B$9,Paramètres!$A$1:$I$89,3,0)*VLOOKUP('Données projet'!$B$9,Paramètres!$A$1:$I$89,5,0)</f>
        <v>-1.9065282685915009E-13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302.20483575440988</v>
      </c>
      <c r="T80" s="62">
        <f t="shared" si="88"/>
        <v>275.32862097158687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6.0502393866628834</v>
      </c>
      <c r="AB80" s="23">
        <f>EXP(-LN(2)/2)*AB79+(1-EXP(-LN(2)/2))/(LN(2)/2)*V80*Y80*VLOOKUP('Données projet'!$B$9,Paramètres!$A$1:$I$89,3,0)*0.475*44/12</f>
        <v>9.2788656001000292E-7</v>
      </c>
      <c r="AC80" s="24">
        <f t="shared" si="57"/>
        <v>6.050240314549443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175.05987582828078</v>
      </c>
      <c r="AO80" s="62">
        <f t="shared" si="90"/>
        <v>268.54782308462387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2.4670736711289405</v>
      </c>
      <c r="AW80" s="23">
        <f>EXP(-LN(2)/2)*AW79+(1-EXP(-LN(2)/2))/(LN(2)/2)*AQ80*AT80*VLOOKUP('Données projet'!$B$10,Paramètres!$A$1:$I$89,3,0)*0.475*44/12</f>
        <v>1.0662278042435973E-6</v>
      </c>
      <c r="AX80" s="23">
        <f t="shared" si="60"/>
        <v>2.4670747373567448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5.625</v>
      </c>
      <c r="BD80" s="13">
        <f>IF('Données projet'!$A$88&gt;35,BD79+BC80-BL79,IF(A80&lt;'Données projet'!$A$88,$BA$205^A80,IF(A80='Données projet'!$A$88,'Données projet'!$B$88,BD79+BC80-BL79)))</f>
        <v>512.875</v>
      </c>
      <c r="BE80" s="14">
        <f>BD80*VLOOKUP('Données projet'!$B$11,Paramètres!$A$1:$I$89,3,0)*VLOOKUP('Données projet'!$B$11,Paramètres!$A$1:$I$89,5,0)</f>
        <v>306.69925000000001</v>
      </c>
      <c r="BF80" s="14">
        <f t="shared" si="91"/>
        <v>72.579073327037307</v>
      </c>
      <c r="BG80" s="22">
        <f t="shared" si="61"/>
        <v>660.57641312792327</v>
      </c>
      <c r="BH80" s="62">
        <f t="shared" si="62"/>
        <v>953.90974646125665</v>
      </c>
      <c r="BI80" s="62">
        <f ca="1">AVERAGE(OFFSET($BH$3,0,0,'Données projet'!$E$11+1,1))-AVERAGE(OFFSET($H$3,0,0,'Données projet'!$E$11+1,1))</f>
        <v>287.29865338866551</v>
      </c>
      <c r="BJ80" s="62">
        <f t="shared" si="92"/>
        <v>217.57508587672368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2.9761798791213114</v>
      </c>
      <c r="BR80" s="23">
        <f>EXP(-LN(2)/2)*BR79+(1-EXP(-LN(2)/2))/(LN(2)/2)*BL80*BO80*VLOOKUP('Données projet'!$B$11,Paramètres!$A$1:$I$89,3,0)*0.475*44/12</f>
        <v>1.0845383046416501E-6</v>
      </c>
      <c r="BS80" s="24">
        <f t="shared" si="63"/>
        <v>2.9761809636596159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projet'!$B$9,Paramètres!$A$1:$I$89,3,0)*VLOOKUP('Données projet'!$B$9,Paramètres!$A$1:$I$89,5,0)</f>
        <v>-1.9065282685915009E-13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302.20483575440988</v>
      </c>
      <c r="T81" s="62">
        <f t="shared" si="88"/>
        <v>275.32862097158687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5.8847952724663255</v>
      </c>
      <c r="AB81" s="23">
        <f>EXP(-LN(2)/2)*AB80+(1-EXP(-LN(2)/2))/(LN(2)/2)*V81*Y81*VLOOKUP('Données projet'!$B$9,Paramètres!$A$1:$I$89,3,0)*0.475*44/12</f>
        <v>6.5611487875493148E-7</v>
      </c>
      <c r="AC81" s="24">
        <f t="shared" si="57"/>
        <v>5.8847959285812044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175.05987582828078</v>
      </c>
      <c r="AO81" s="62">
        <f t="shared" si="90"/>
        <v>268.54782308462387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2.3996114118541536</v>
      </c>
      <c r="AW81" s="23">
        <f>EXP(-LN(2)/2)*AW80+(1-EXP(-LN(2)/2))/(LN(2)/2)*AQ81*AT81*VLOOKUP('Données projet'!$B$10,Paramètres!$A$1:$I$89,3,0)*0.475*44/12</f>
        <v>7.5393691067029037E-7</v>
      </c>
      <c r="AX81" s="23">
        <f t="shared" si="60"/>
        <v>2.3996121657910643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5.625</v>
      </c>
      <c r="BD81" s="13">
        <f>IF('Données projet'!$A$88&gt;35,BD80+BC81-BL80,IF(A81&lt;'Données projet'!$A$88,$BA$205^A81,IF(A81='Données projet'!$A$88,'Données projet'!$B$88,BD80+BC81-BL80)))</f>
        <v>518.5</v>
      </c>
      <c r="BE81" s="14">
        <f>BD81*VLOOKUP('Données projet'!$B$11,Paramètres!$A$1:$I$89,3,0)*VLOOKUP('Données projet'!$B$11,Paramètres!$A$1:$I$89,5,0)</f>
        <v>310.06300000000005</v>
      </c>
      <c r="BF81" s="14">
        <f t="shared" si="91"/>
        <v>73.281986923645121</v>
      </c>
      <c r="BG81" s="22">
        <f t="shared" si="61"/>
        <v>667.659185558682</v>
      </c>
      <c r="BH81" s="62">
        <f t="shared" si="62"/>
        <v>960.99251889201537</v>
      </c>
      <c r="BI81" s="62">
        <f ca="1">AVERAGE(OFFSET($BH$3,0,0,'Données projet'!$E$11+1,1))-AVERAGE(OFFSET($H$3,0,0,'Données projet'!$E$11+1,1))</f>
        <v>287.29865338866551</v>
      </c>
      <c r="BJ81" s="62">
        <f t="shared" si="92"/>
        <v>217.57508587672368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2.8947960838162414</v>
      </c>
      <c r="BR81" s="23">
        <f>EXP(-LN(2)/2)*BR80+(1-EXP(-LN(2)/2))/(LN(2)/2)*BL81*BO81*VLOOKUP('Données projet'!$B$11,Paramètres!$A$1:$I$89,3,0)*0.475*44/12</f>
        <v>7.6688438966867251E-7</v>
      </c>
      <c r="BS81" s="24">
        <f t="shared" si="63"/>
        <v>2.8947968507006312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projet'!$B$9,Paramètres!$A$1:$I$89,3,0)*VLOOKUP('Données projet'!$B$9,Paramètres!$A$1:$I$89,5,0)</f>
        <v>-1.9065282685915009E-13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302.20483575440988</v>
      </c>
      <c r="T82" s="62">
        <f t="shared" si="88"/>
        <v>275.32862097158687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5.7238752362728</v>
      </c>
      <c r="AB82" s="23">
        <f>EXP(-LN(2)/2)*AB81+(1-EXP(-LN(2)/2))/(LN(2)/2)*V82*Y82*VLOOKUP('Données projet'!$B$9,Paramètres!$A$1:$I$89,3,0)*0.475*44/12</f>
        <v>4.6394328000500152E-7</v>
      </c>
      <c r="AC82" s="24">
        <f t="shared" si="57"/>
        <v>5.7238757002160803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175.05987582828078</v>
      </c>
      <c r="AO82" s="62">
        <f t="shared" si="90"/>
        <v>268.54782308462387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2.3339939116069219</v>
      </c>
      <c r="AW82" s="23">
        <f>EXP(-LN(2)/2)*AW81+(1-EXP(-LN(2)/2))/(LN(2)/2)*AQ82*AT82*VLOOKUP('Données projet'!$B$10,Paramètres!$A$1:$I$89,3,0)*0.475*44/12</f>
        <v>5.3311390212179863E-7</v>
      </c>
      <c r="AX82" s="23">
        <f t="shared" si="60"/>
        <v>2.3339944447208238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5.625</v>
      </c>
      <c r="BD82" s="13">
        <f>IF('Données projet'!$A$88&gt;35,BD81+BC82-BL81,IF(A82&lt;'Données projet'!$A$88,$BA$205^A82,IF(A82='Données projet'!$A$88,'Données projet'!$B$88,BD81+BC82-BL81)))</f>
        <v>524.125</v>
      </c>
      <c r="BE82" s="14">
        <f>BD82*VLOOKUP('Données projet'!$B$11,Paramètres!$A$1:$I$89,3,0)*VLOOKUP('Données projet'!$B$11,Paramètres!$A$1:$I$89,5,0)</f>
        <v>313.42675000000003</v>
      </c>
      <c r="BF82" s="14">
        <f t="shared" si="91"/>
        <v>73.98401343875733</v>
      </c>
      <c r="BG82" s="22">
        <f t="shared" si="61"/>
        <v>674.74041298916916</v>
      </c>
      <c r="BH82" s="62">
        <f t="shared" si="62"/>
        <v>968.07374632250253</v>
      </c>
      <c r="BI82" s="62">
        <f ca="1">AVERAGE(OFFSET($BH$3,0,0,'Données projet'!$E$11+1,1))-AVERAGE(OFFSET($H$3,0,0,'Données projet'!$E$11+1,1))</f>
        <v>287.29865338866551</v>
      </c>
      <c r="BJ82" s="62">
        <f t="shared" si="92"/>
        <v>217.57508587672368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2.8156377326735762</v>
      </c>
      <c r="BR82" s="23">
        <f>EXP(-LN(2)/2)*BR81+(1-EXP(-LN(2)/2))/(LN(2)/2)*BL82*BO82*VLOOKUP('Données projet'!$B$11,Paramètres!$A$1:$I$89,3,0)*0.475*44/12</f>
        <v>5.4226915232082505E-7</v>
      </c>
      <c r="BS82" s="24">
        <f t="shared" si="63"/>
        <v>2.8156382749427284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projet'!$B$9,Paramètres!$A$1:$I$89,3,0)*VLOOKUP('Données projet'!$B$9,Paramètres!$A$1:$I$89,5,0)</f>
        <v>-1.9065282685915009E-13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302.20483575440988</v>
      </c>
      <c r="T83" s="62">
        <f t="shared" si="88"/>
        <v>275.32862097158687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5.5673555669314041</v>
      </c>
      <c r="AB83" s="23">
        <f>EXP(-LN(2)/2)*AB82+(1-EXP(-LN(2)/2))/(LN(2)/2)*V83*Y83*VLOOKUP('Données projet'!$B$9,Paramètres!$A$1:$I$89,3,0)*0.475*44/12</f>
        <v>3.280574393774658E-7</v>
      </c>
      <c r="AC83" s="24">
        <f t="shared" si="57"/>
        <v>5.5673558949888431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175.05987582828078</v>
      </c>
      <c r="AO83" s="62">
        <f t="shared" si="90"/>
        <v>268.54782308462387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2.2701707253546251</v>
      </c>
      <c r="AW83" s="23">
        <f>EXP(-LN(2)/2)*AW82+(1-EXP(-LN(2)/2))/(LN(2)/2)*AQ83*AT83*VLOOKUP('Données projet'!$B$10,Paramètres!$A$1:$I$89,3,0)*0.475*44/12</f>
        <v>3.7696845533514518E-7</v>
      </c>
      <c r="AX83" s="23">
        <f t="shared" si="60"/>
        <v>2.2701711023230802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5.625</v>
      </c>
      <c r="BD83" s="13">
        <f>IF('Données projet'!$A$88&gt;35,BD82+BC83-BL82,IF(A83&lt;'Données projet'!$A$88,$BA$205^A83,IF(A83='Données projet'!$A$88,'Données projet'!$B$88,BD82+BC83-BL82)))</f>
        <v>529.75</v>
      </c>
      <c r="BE83" s="14">
        <f>BD83*VLOOKUP('Données projet'!$B$11,Paramètres!$A$1:$I$89,3,0)*VLOOKUP('Données projet'!$B$11,Paramètres!$A$1:$I$89,5,0)</f>
        <v>316.79050000000001</v>
      </c>
      <c r="BF83" s="14">
        <f t="shared" si="91"/>
        <v>74.685163494624121</v>
      </c>
      <c r="BG83" s="22">
        <f t="shared" si="61"/>
        <v>681.8201139198037</v>
      </c>
      <c r="BH83" s="62">
        <f t="shared" si="62"/>
        <v>975.15344725313707</v>
      </c>
      <c r="BI83" s="62">
        <f ca="1">AVERAGE(OFFSET($BH$3,0,0,'Données projet'!$E$11+1,1))-AVERAGE(OFFSET($H$3,0,0,'Données projet'!$E$11+1,1))</f>
        <v>287.29865338866551</v>
      </c>
      <c r="BJ83" s="62">
        <f t="shared" si="92"/>
        <v>217.57508587672368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2.738643970805664</v>
      </c>
      <c r="BR83" s="23">
        <f>EXP(-LN(2)/2)*BR82+(1-EXP(-LN(2)/2))/(LN(2)/2)*BL83*BO83*VLOOKUP('Données projet'!$B$11,Paramètres!$A$1:$I$89,3,0)*0.475*44/12</f>
        <v>3.8344219483433626E-7</v>
      </c>
      <c r="BS83" s="24">
        <f t="shared" si="63"/>
        <v>2.7386443542478589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projet'!$B$9,Paramètres!$A$1:$I$89,3,0)*VLOOKUP('Données projet'!$B$9,Paramètres!$A$1:$I$89,5,0)</f>
        <v>-1.9065282685915009E-13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302.20483575440988</v>
      </c>
      <c r="T84" s="62">
        <f t="shared" si="88"/>
        <v>275.32862097158687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5.4151159361791601</v>
      </c>
      <c r="AB84" s="23">
        <f>EXP(-LN(2)/2)*AB83+(1-EXP(-LN(2)/2))/(LN(2)/2)*V84*Y84*VLOOKUP('Données projet'!$B$9,Paramètres!$A$1:$I$89,3,0)*0.475*44/12</f>
        <v>2.3197164000250081E-7</v>
      </c>
      <c r="AC84" s="24">
        <f t="shared" si="57"/>
        <v>5.4151161681508002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175.05987582828078</v>
      </c>
      <c r="AO84" s="62">
        <f t="shared" si="90"/>
        <v>268.54782308462387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2.2080927874867129</v>
      </c>
      <c r="AW84" s="23">
        <f>EXP(-LN(2)/2)*AW83+(1-EXP(-LN(2)/2))/(LN(2)/2)*AQ84*AT84*VLOOKUP('Données projet'!$B$10,Paramètres!$A$1:$I$89,3,0)*0.475*44/12</f>
        <v>2.6655695106089932E-7</v>
      </c>
      <c r="AX84" s="23">
        <f t="shared" si="60"/>
        <v>2.2080930540436641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5.625</v>
      </c>
      <c r="BD84" s="13">
        <f>IF('Données projet'!$A$88&gt;35,BD83+BC84-BL83,IF(A84&lt;'Données projet'!$A$88,$BA$205^A84,IF(A84='Données projet'!$A$88,'Données projet'!$B$88,BD83+BC84-BL83)))</f>
        <v>535.375</v>
      </c>
      <c r="BE84" s="14">
        <f>BD84*VLOOKUP('Données projet'!$B$11,Paramètres!$A$1:$I$89,3,0)*VLOOKUP('Données projet'!$B$11,Paramètres!$A$1:$I$89,5,0)</f>
        <v>320.15425000000005</v>
      </c>
      <c r="BF84" s="14">
        <f t="shared" si="91"/>
        <v>75.385447474921904</v>
      </c>
      <c r="BG84" s="22">
        <f t="shared" si="61"/>
        <v>688.89830643548896</v>
      </c>
      <c r="BH84" s="62">
        <f t="shared" si="62"/>
        <v>982.23163976882233</v>
      </c>
      <c r="BI84" s="62">
        <f ca="1">AVERAGE(OFFSET($BH$3,0,0,'Données projet'!$E$11+1,1))-AVERAGE(OFFSET($H$3,0,0,'Données projet'!$E$11+1,1))</f>
        <v>287.29865338866551</v>
      </c>
      <c r="BJ84" s="62">
        <f t="shared" si="92"/>
        <v>217.57508587672368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2.6637556074049558</v>
      </c>
      <c r="BR84" s="23">
        <f>EXP(-LN(2)/2)*BR83+(1-EXP(-LN(2)/2))/(LN(2)/2)*BL84*BO84*VLOOKUP('Données projet'!$B$11,Paramètres!$A$1:$I$89,3,0)*0.475*44/12</f>
        <v>2.7113457616041253E-7</v>
      </c>
      <c r="BS84" s="24">
        <f t="shared" si="63"/>
        <v>2.6637558785395319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projet'!$B$9,Paramètres!$A$1:$I$89,3,0)*VLOOKUP('Données projet'!$B$9,Paramètres!$A$1:$I$89,5,0)</f>
        <v>-1.9065282685915009E-13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302.20483575440988</v>
      </c>
      <c r="T85" s="62">
        <f t="shared" si="88"/>
        <v>275.32862097158687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5.2670393061357705</v>
      </c>
      <c r="AB85" s="23">
        <f>EXP(-LN(2)/2)*AB84+(1-EXP(-LN(2)/2))/(LN(2)/2)*V85*Y85*VLOOKUP('Données projet'!$B$9,Paramètres!$A$1:$I$89,3,0)*0.475*44/12</f>
        <v>1.6402871968873292E-7</v>
      </c>
      <c r="AC85" s="24">
        <f t="shared" si="57"/>
        <v>5.26703947016449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175.05987582828078</v>
      </c>
      <c r="AO85" s="62">
        <f t="shared" si="90"/>
        <v>268.54782308462387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2.1477123740943358</v>
      </c>
      <c r="AW85" s="23">
        <f>EXP(-LN(2)/2)*AW84+(1-EXP(-LN(2)/2))/(LN(2)/2)*AQ85*AT85*VLOOKUP('Données projet'!$B$10,Paramètres!$A$1:$I$89,3,0)*0.475*44/12</f>
        <v>1.8848422766757259E-7</v>
      </c>
      <c r="AX85" s="23">
        <f t="shared" si="60"/>
        <v>2.1477125625785636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541</v>
      </c>
      <c r="BB85" s="13">
        <f>VLOOKUP(A85,'Données projet'!$A$87:$I$107,9,0)</f>
        <v>5.625</v>
      </c>
      <c r="BC85" s="13">
        <f t="array" ref="BC85">INDEX(BB:BB,MIN(IF(ISNUMBER(BB85:BB281),ROW(BB85:BB281),"")))</f>
        <v>5.625</v>
      </c>
      <c r="BD85" s="13">
        <f>IF('Données projet'!$A$88&gt;35,BD84+BC85-BL84,IF(A85&lt;'Données projet'!$A$88,$BA$205^A85,IF(A85='Données projet'!$A$88,'Données projet'!$B$88,BD84+BC85-BL84)))</f>
        <v>541</v>
      </c>
      <c r="BE85" s="14">
        <f>BD85*VLOOKUP('Données projet'!$B$11,Paramètres!$A$1:$I$89,3,0)*VLOOKUP('Données projet'!$B$11,Paramètres!$A$1:$I$89,5,0)</f>
        <v>323.51800000000003</v>
      </c>
      <c r="BF85" s="14">
        <f t="shared" si="91"/>
        <v>76.084875532561725</v>
      </c>
      <c r="BG85" s="22">
        <f t="shared" si="61"/>
        <v>695.97500821921176</v>
      </c>
      <c r="BH85" s="62">
        <f t="shared" si="62"/>
        <v>989.30834155254502</v>
      </c>
      <c r="BI85" s="62">
        <f ca="1">AVERAGE(OFFSET($BH$3,0,0,'Données projet'!$E$11+1,1))-AVERAGE(OFFSET($H$3,0,0,'Données projet'!$E$11+1,1))</f>
        <v>287.29865338866551</v>
      </c>
      <c r="BJ85" s="62">
        <f t="shared" si="92"/>
        <v>217.57508587672368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541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2.5909150702396477</v>
      </c>
      <c r="BR85" s="23">
        <f>EXP(-LN(2)/2)*BR84+(1-EXP(-LN(2)/2))/(LN(2)/2)*BL85*BO85*VLOOKUP('Données projet'!$B$11,Paramètres!$A$1:$I$89,3,0)*0.475*44/12</f>
        <v>1.9172109741716813E-7</v>
      </c>
      <c r="BS85" s="24">
        <f t="shared" si="63"/>
        <v>2.590915261960745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projet'!$B$9,Paramètres!$A$1:$I$89,3,0)*VLOOKUP('Données projet'!$B$9,Paramètres!$A$1:$I$89,5,0)</f>
        <v>-1.9065282685915009E-13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302.20483575440988</v>
      </c>
      <c r="T86" s="62">
        <f t="shared" si="88"/>
        <v>275.32862097158687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5.1230118393279289</v>
      </c>
      <c r="AB86" s="23">
        <f>EXP(-LN(2)/2)*AB85+(1-EXP(-LN(2)/2))/(LN(2)/2)*V86*Y86*VLOOKUP('Données projet'!$B$9,Paramètres!$A$1:$I$89,3,0)*0.475*44/12</f>
        <v>1.1598582000125042E-7</v>
      </c>
      <c r="AC86" s="24">
        <f t="shared" si="57"/>
        <v>5.123011955313749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175.05987582828078</v>
      </c>
      <c r="AO86" s="62">
        <f t="shared" si="90"/>
        <v>268.54782308462387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2.088983066281441</v>
      </c>
      <c r="AW86" s="23">
        <f>EXP(-LN(2)/2)*AW85+(1-EXP(-LN(2)/2))/(LN(2)/2)*AQ86*AT86*VLOOKUP('Données projet'!$B$10,Paramètres!$A$1:$I$89,3,0)*0.475*44/12</f>
        <v>1.3327847553044966E-7</v>
      </c>
      <c r="AX86" s="23">
        <f t="shared" si="60"/>
        <v>2.0889831995599164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287.29865338866551</v>
      </c>
      <c r="BJ86" s="62">
        <f t="shared" si="92"/>
        <v>217.57508587672368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2.5200663613936425</v>
      </c>
      <c r="BR86" s="23">
        <f>EXP(-LN(2)/2)*BR85+(1-EXP(-LN(2)/2))/(LN(2)/2)*BL86*BO86*VLOOKUP('Données projet'!$B$11,Paramètres!$A$1:$I$89,3,0)*0.475*44/12</f>
        <v>1.3556728808020626E-7</v>
      </c>
      <c r="BS86" s="24">
        <f t="shared" si="63"/>
        <v>2.5200664969609305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projet'!$B$9,Paramètres!$A$1:$I$89,3,0)*VLOOKUP('Données projet'!$B$9,Paramètres!$A$1:$I$89,5,0)</f>
        <v>-1.9065282685915009E-13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302.20483575440988</v>
      </c>
      <c r="T87" s="62">
        <f t="shared" si="88"/>
        <v>275.32862097158687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4.9829228111740225</v>
      </c>
      <c r="AB87" s="23">
        <f>EXP(-LN(2)/2)*AB86+(1-EXP(-LN(2)/2))/(LN(2)/2)*V87*Y87*VLOOKUP('Données projet'!$B$9,Paramètres!$A$1:$I$89,3,0)*0.475*44/12</f>
        <v>8.2014359844366475E-8</v>
      </c>
      <c r="AC87" s="24">
        <f t="shared" si="57"/>
        <v>4.9829228931883822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175.05987582828078</v>
      </c>
      <c r="AO87" s="62">
        <f t="shared" si="90"/>
        <v>268.54782308462387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2.0318597144791299</v>
      </c>
      <c r="AW87" s="23">
        <f>EXP(-LN(2)/2)*AW86+(1-EXP(-LN(2)/2))/(LN(2)/2)*AQ87*AT87*VLOOKUP('Données projet'!$B$10,Paramètres!$A$1:$I$89,3,0)*0.475*44/12</f>
        <v>9.4242113833786296E-8</v>
      </c>
      <c r="AX87" s="23">
        <f t="shared" si="60"/>
        <v>2.0318598087212436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287.29865338866551</v>
      </c>
      <c r="BJ87" s="62">
        <f t="shared" si="92"/>
        <v>217.57508587672368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2.4511550142168033</v>
      </c>
      <c r="BR87" s="23">
        <f>EXP(-LN(2)/2)*BR86+(1-EXP(-LN(2)/2))/(LN(2)/2)*BL87*BO87*VLOOKUP('Données projet'!$B$11,Paramètres!$A$1:$I$89,3,0)*0.475*44/12</f>
        <v>9.5860548708584064E-8</v>
      </c>
      <c r="BS87" s="24">
        <f t="shared" si="63"/>
        <v>2.4511551100773521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-1.9065282685915009E-13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302.20483575440988</v>
      </c>
      <c r="T88" s="62">
        <f t="shared" si="88"/>
        <v>275.32862097158687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4.8466645248619464</v>
      </c>
      <c r="AB88" s="23">
        <f>EXP(-LN(2)/2)*AB87+(1-EXP(-LN(2)/2))/(LN(2)/2)*V88*Y88*VLOOKUP('Données projet'!$B$9,Paramètres!$A$1:$I$89,3,0)*0.475*44/12</f>
        <v>5.7992910000625216E-8</v>
      </c>
      <c r="AC88" s="24">
        <f t="shared" si="57"/>
        <v>4.8466645828548565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175.05987582828078</v>
      </c>
      <c r="AO88" s="62">
        <f t="shared" si="90"/>
        <v>268.54782308462387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1.9762984037358395</v>
      </c>
      <c r="AW88" s="23">
        <f>EXP(-LN(2)/2)*AW87+(1-EXP(-LN(2)/2))/(LN(2)/2)*AQ88*AT88*VLOOKUP('Données projet'!$B$10,Paramètres!$A$1:$I$89,3,0)*0.475*44/12</f>
        <v>6.6639237765224829E-8</v>
      </c>
      <c r="AX88" s="23">
        <f t="shared" si="60"/>
        <v>1.9762984703750772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287.29865338866551</v>
      </c>
      <c r="BJ88" s="62">
        <f t="shared" si="92"/>
        <v>217.57508587672368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2.3841280514524046</v>
      </c>
      <c r="BR88" s="23">
        <f>EXP(-LN(2)/2)*BR87+(1-EXP(-LN(2)/2))/(LN(2)/2)*BL88*BO88*VLOOKUP('Données projet'!$B$11,Paramètres!$A$1:$I$89,3,0)*0.475*44/12</f>
        <v>6.7783644040103131E-8</v>
      </c>
      <c r="BS88" s="24">
        <f t="shared" si="63"/>
        <v>2.3841281192360486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-1.9065282685915009E-13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302.20483575440988</v>
      </c>
      <c r="T89" s="62">
        <f t="shared" si="88"/>
        <v>275.32862097158687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4.7141322285545861</v>
      </c>
      <c r="AB89" s="23">
        <f>EXP(-LN(2)/2)*AB88+(1-EXP(-LN(2)/2))/(LN(2)/2)*V89*Y89*VLOOKUP('Données projet'!$B$9,Paramètres!$A$1:$I$89,3,0)*0.475*44/12</f>
        <v>4.1007179922183244E-8</v>
      </c>
      <c r="AC89" s="24">
        <f t="shared" si="57"/>
        <v>4.714132269561766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175.05987582828078</v>
      </c>
      <c r="AO89" s="62">
        <f t="shared" si="90"/>
        <v>268.54782308462387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1.9222564199566667</v>
      </c>
      <c r="AW89" s="23">
        <f>EXP(-LN(2)/2)*AW88+(1-EXP(-LN(2)/2))/(LN(2)/2)*AQ89*AT89*VLOOKUP('Données projet'!$B$10,Paramètres!$A$1:$I$89,3,0)*0.475*44/12</f>
        <v>4.7121056916893148E-8</v>
      </c>
      <c r="AX89" s="23">
        <f t="shared" si="60"/>
        <v>1.9222564670777236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287.29865338866551</v>
      </c>
      <c r="BJ89" s="62">
        <f t="shared" si="92"/>
        <v>217.57508587672368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2.3189339445095936</v>
      </c>
      <c r="BR89" s="23">
        <f>EXP(-LN(2)/2)*BR88+(1-EXP(-LN(2)/2))/(LN(2)/2)*BL89*BO89*VLOOKUP('Données projet'!$B$11,Paramètres!$A$1:$I$89,3,0)*0.475*44/12</f>
        <v>4.7930274354292032E-8</v>
      </c>
      <c r="BS89" s="24">
        <f t="shared" si="63"/>
        <v>2.318933992439868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-1.9065282685915009E-13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302.20483575440988</v>
      </c>
      <c r="T90" s="62">
        <f t="shared" si="88"/>
        <v>275.32862097158687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4.585224034859321</v>
      </c>
      <c r="AB90" s="23">
        <f>EXP(-LN(2)/2)*AB89+(1-EXP(-LN(2)/2))/(LN(2)/2)*V90*Y90*VLOOKUP('Données projet'!$B$9,Paramètres!$A$1:$I$89,3,0)*0.475*44/12</f>
        <v>2.8996455000312615E-8</v>
      </c>
      <c r="AC90" s="24">
        <f t="shared" si="57"/>
        <v>4.585224063855776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175.05987582828078</v>
      </c>
      <c r="AO90" s="62">
        <f t="shared" si="90"/>
        <v>268.54782308462387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1.8696922170658798</v>
      </c>
      <c r="AW90" s="23">
        <f>EXP(-LN(2)/2)*AW89+(1-EXP(-LN(2)/2))/(LN(2)/2)*AQ90*AT90*VLOOKUP('Données projet'!$B$10,Paramètres!$A$1:$I$89,3,0)*0.475*44/12</f>
        <v>3.3319618882612415E-8</v>
      </c>
      <c r="AX90" s="23">
        <f t="shared" si="60"/>
        <v>1.8696922503854987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287.29865338866551</v>
      </c>
      <c r="BJ90" s="62">
        <f t="shared" si="92"/>
        <v>217.57508587672368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2.2555225738495426</v>
      </c>
      <c r="BR90" s="23">
        <f>EXP(-LN(2)/2)*BR89+(1-EXP(-LN(2)/2))/(LN(2)/2)*BL90*BO90*VLOOKUP('Données projet'!$B$11,Paramètres!$A$1:$I$89,3,0)*0.475*44/12</f>
        <v>3.3891822020051566E-8</v>
      </c>
      <c r="BS90" s="24">
        <f t="shared" si="63"/>
        <v>2.2555226077413648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-1.9065282685915009E-13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302.20483575440988</v>
      </c>
      <c r="T91" s="62">
        <f t="shared" si="88"/>
        <v>275.32862097158687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4.4598408424996405</v>
      </c>
      <c r="AB91" s="23">
        <f>EXP(-LN(2)/2)*AB90+(1-EXP(-LN(2)/2))/(LN(2)/2)*V91*Y91*VLOOKUP('Données projet'!$B$9,Paramètres!$A$1:$I$89,3,0)*0.475*44/12</f>
        <v>2.0503589961091625E-8</v>
      </c>
      <c r="AC91" s="24">
        <f t="shared" si="57"/>
        <v>4.4598408630032305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175.05987582828078</v>
      </c>
      <c r="AO91" s="62">
        <f t="shared" si="90"/>
        <v>268.54782308462387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1.8185653850673729</v>
      </c>
      <c r="AW91" s="23">
        <f>EXP(-LN(2)/2)*AW90+(1-EXP(-LN(2)/2))/(LN(2)/2)*AQ91*AT91*VLOOKUP('Données projet'!$B$10,Paramètres!$A$1:$I$89,3,0)*0.475*44/12</f>
        <v>2.3560528458446574E-8</v>
      </c>
      <c r="AX91" s="23">
        <f t="shared" si="60"/>
        <v>1.8185654086279013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287.29865338866551</v>
      </c>
      <c r="BJ91" s="62">
        <f t="shared" si="92"/>
        <v>217.57508587672368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2.1938451904548497</v>
      </c>
      <c r="BR91" s="23">
        <f>EXP(-LN(2)/2)*BR90+(1-EXP(-LN(2)/2))/(LN(2)/2)*BL91*BO91*VLOOKUP('Données projet'!$B$11,Paramètres!$A$1:$I$89,3,0)*0.475*44/12</f>
        <v>2.3965137177146016E-8</v>
      </c>
      <c r="BS91" s="24">
        <f t="shared" si="63"/>
        <v>2.1938452144199867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-1.9065282685915009E-13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302.20483575440988</v>
      </c>
      <c r="T92" s="62">
        <f t="shared" si="88"/>
        <v>275.32862097158687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4.3378862601286512</v>
      </c>
      <c r="AB92" s="23">
        <f>EXP(-LN(2)/2)*AB91+(1-EXP(-LN(2)/2))/(LN(2)/2)*V92*Y92*VLOOKUP('Données projet'!$B$9,Paramètres!$A$1:$I$89,3,0)*0.475*44/12</f>
        <v>1.4498227500156309E-8</v>
      </c>
      <c r="AC92" s="24">
        <f t="shared" si="57"/>
        <v>4.3378862746268787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175.05987582828078</v>
      </c>
      <c r="AO92" s="62">
        <f t="shared" si="90"/>
        <v>268.54782308462387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1.7688366189785083</v>
      </c>
      <c r="AW92" s="23">
        <f>EXP(-LN(2)/2)*AW91+(1-EXP(-LN(2)/2))/(LN(2)/2)*AQ92*AT92*VLOOKUP('Données projet'!$B$10,Paramètres!$A$1:$I$89,3,0)*0.475*44/12</f>
        <v>1.6659809441306207E-8</v>
      </c>
      <c r="AX92" s="23">
        <f t="shared" si="60"/>
        <v>1.7688366356383178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287.29865338866551</v>
      </c>
      <c r="BJ92" s="62">
        <f t="shared" si="92"/>
        <v>217.57508587672368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2.1338543783525572</v>
      </c>
      <c r="BR92" s="23">
        <f>EXP(-LN(2)/2)*BR91+(1-EXP(-LN(2)/2))/(LN(2)/2)*BL92*BO92*VLOOKUP('Données projet'!$B$11,Paramètres!$A$1:$I$89,3,0)*0.475*44/12</f>
        <v>1.6945911010025783E-8</v>
      </c>
      <c r="BS92" s="24">
        <f t="shared" si="63"/>
        <v>2.1338543952984681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-1.9065282685915009E-13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302.20483575440988</v>
      </c>
      <c r="T93" s="62">
        <f t="shared" si="88"/>
        <v>275.32862097158687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4.2192665322259089</v>
      </c>
      <c r="AB93" s="23">
        <f>EXP(-LN(2)/2)*AB92+(1-EXP(-LN(2)/2))/(LN(2)/2)*V93*Y93*VLOOKUP('Données projet'!$B$9,Paramètres!$A$1:$I$89,3,0)*0.475*44/12</f>
        <v>1.0251794980545814E-8</v>
      </c>
      <c r="AC93" s="24">
        <f t="shared" si="57"/>
        <v>4.2192665424777038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175.05987582828078</v>
      </c>
      <c r="AO93" s="62">
        <f t="shared" si="90"/>
        <v>268.54782308462387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1.720467688613466</v>
      </c>
      <c r="AW93" s="23">
        <f>EXP(-LN(2)/2)*AW92+(1-EXP(-LN(2)/2))/(LN(2)/2)*AQ93*AT93*VLOOKUP('Données projet'!$B$10,Paramètres!$A$1:$I$89,3,0)*0.475*44/12</f>
        <v>1.1780264229223287E-8</v>
      </c>
      <c r="AX93" s="23">
        <f t="shared" si="60"/>
        <v>1.7204677003937303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287.29865338866551</v>
      </c>
      <c r="BJ93" s="62">
        <f t="shared" si="92"/>
        <v>217.57508587672368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2.0755040181619817</v>
      </c>
      <c r="BR93" s="23">
        <f>EXP(-LN(2)/2)*BR92+(1-EXP(-LN(2)/2))/(LN(2)/2)*BL93*BO93*VLOOKUP('Données projet'!$B$11,Paramètres!$A$1:$I$89,3,0)*0.475*44/12</f>
        <v>1.1982568588573008E-8</v>
      </c>
      <c r="BS93" s="24">
        <f t="shared" si="63"/>
        <v>2.0755040301445504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-1.9065282685915009E-13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302.20483575440988</v>
      </c>
      <c r="T94" s="62">
        <f t="shared" si="88"/>
        <v>275.32862097158687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4.1038904670206078</v>
      </c>
      <c r="AB94" s="23">
        <f>EXP(-LN(2)/2)*AB93+(1-EXP(-LN(2)/2))/(LN(2)/2)*V94*Y94*VLOOKUP('Données projet'!$B$9,Paramètres!$A$1:$I$89,3,0)*0.475*44/12</f>
        <v>7.2491137500781561E-9</v>
      </c>
      <c r="AC94" s="24">
        <f t="shared" si="57"/>
        <v>4.1038904742697211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175.05987582828078</v>
      </c>
      <c r="AO94" s="62">
        <f t="shared" si="90"/>
        <v>268.54782308462387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1.6734214091928672</v>
      </c>
      <c r="AW94" s="23">
        <f>EXP(-LN(2)/2)*AW93+(1-EXP(-LN(2)/2))/(LN(2)/2)*AQ94*AT94*VLOOKUP('Données projet'!$B$10,Paramètres!$A$1:$I$89,3,0)*0.475*44/12</f>
        <v>8.3299047206531036E-9</v>
      </c>
      <c r="AX94" s="23">
        <f t="shared" si="60"/>
        <v>1.673421417522772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287.29865338866551</v>
      </c>
      <c r="BJ94" s="62">
        <f t="shared" si="92"/>
        <v>217.57508587672368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2.0187492516393295</v>
      </c>
      <c r="BR94" s="23">
        <f>EXP(-LN(2)/2)*BR93+(1-EXP(-LN(2)/2))/(LN(2)/2)*BL94*BO94*VLOOKUP('Données projet'!$B$11,Paramètres!$A$1:$I$89,3,0)*0.475*44/12</f>
        <v>8.4729555050128914E-9</v>
      </c>
      <c r="BS94" s="24">
        <f t="shared" si="63"/>
        <v>2.0187492601122852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-1.9065282685915009E-13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302.20483575440988</v>
      </c>
      <c r="T95" s="62">
        <f t="shared" si="88"/>
        <v>275.32862097158687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3.9916693663857092</v>
      </c>
      <c r="AB95" s="23">
        <f>EXP(-LN(2)/2)*AB94+(1-EXP(-LN(2)/2))/(LN(2)/2)*V95*Y95*VLOOKUP('Données projet'!$B$9,Paramètres!$A$1:$I$89,3,0)*0.475*44/12</f>
        <v>5.125897490272908E-9</v>
      </c>
      <c r="AC95" s="24">
        <f t="shared" si="57"/>
        <v>3.9916693715116067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175.05987582828078</v>
      </c>
      <c r="AO95" s="62">
        <f t="shared" si="90"/>
        <v>268.54782308462387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1.6276616127570809</v>
      </c>
      <c r="AW95" s="23">
        <f>EXP(-LN(2)/2)*AW94+(1-EXP(-LN(2)/2))/(LN(2)/2)*AQ95*AT95*VLOOKUP('Données projet'!$B$10,Paramètres!$A$1:$I$89,3,0)*0.475*44/12</f>
        <v>5.8901321146116435E-9</v>
      </c>
      <c r="AX95" s="23">
        <f t="shared" si="60"/>
        <v>1.627661618647213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287.29865338866551</v>
      </c>
      <c r="BJ95" s="62">
        <f t="shared" si="92"/>
        <v>217.57508587672368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1.9635464471918429</v>
      </c>
      <c r="BR95" s="23">
        <f>EXP(-LN(2)/2)*BR94+(1-EXP(-LN(2)/2))/(LN(2)/2)*BL95*BO95*VLOOKUP('Données projet'!$B$11,Paramètres!$A$1:$I$89,3,0)*0.475*44/12</f>
        <v>5.991284294286504E-9</v>
      </c>
      <c r="BS95" s="24">
        <f t="shared" si="63"/>
        <v>1.9635464531831273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-1.9065282685915009E-13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302.20483575440988</v>
      </c>
      <c r="T96" s="62">
        <f t="shared" si="88"/>
        <v>275.32862097158687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3.882516957649123</v>
      </c>
      <c r="AB96" s="23">
        <f>EXP(-LN(2)/2)*AB95+(1-EXP(-LN(2)/2))/(LN(2)/2)*V96*Y96*VLOOKUP('Données projet'!$B$9,Paramètres!$A$1:$I$89,3,0)*0.475*44/12</f>
        <v>3.6245568750390785E-9</v>
      </c>
      <c r="AC96" s="24">
        <f t="shared" si="57"/>
        <v>3.8825169612736796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175.05987582828078</v>
      </c>
      <c r="AO96" s="62">
        <f t="shared" si="90"/>
        <v>268.54782308462387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1.5831531203612343</v>
      </c>
      <c r="AW96" s="23">
        <f>EXP(-LN(2)/2)*AW95+(1-EXP(-LN(2)/2))/(LN(2)/2)*AQ96*AT96*VLOOKUP('Données projet'!$B$10,Paramètres!$A$1:$I$89,3,0)*0.475*44/12</f>
        <v>4.1649523603265518E-9</v>
      </c>
      <c r="AX96" s="23">
        <f t="shared" si="60"/>
        <v>1.5831531245261867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287.29865338866551</v>
      </c>
      <c r="BJ96" s="62">
        <f t="shared" si="92"/>
        <v>217.57508587672368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1.909853166334962</v>
      </c>
      <c r="BR96" s="23">
        <f>EXP(-LN(2)/2)*BR95+(1-EXP(-LN(2)/2))/(LN(2)/2)*BL96*BO96*VLOOKUP('Données projet'!$B$11,Paramètres!$A$1:$I$89,3,0)*0.475*44/12</f>
        <v>4.2364777525064457E-9</v>
      </c>
      <c r="BS96" s="24">
        <f t="shared" si="63"/>
        <v>1.9098531705714399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-1.9065282685915009E-13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302.20483575440988</v>
      </c>
      <c r="T97" s="62">
        <f t="shared" si="88"/>
        <v>275.32862097158687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3.7763493272695143</v>
      </c>
      <c r="AB97" s="23">
        <f>EXP(-LN(2)/2)*AB96+(1-EXP(-LN(2)/2))/(LN(2)/2)*V97*Y97*VLOOKUP('Données projet'!$B$9,Paramètres!$A$1:$I$89,3,0)*0.475*44/12</f>
        <v>2.5629487451364544E-9</v>
      </c>
      <c r="AC97" s="24">
        <f t="shared" si="57"/>
        <v>3.7763493298324633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175.05987582828078</v>
      </c>
      <c r="AO97" s="62">
        <f t="shared" si="90"/>
        <v>268.54782308462387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1.5398617150305522</v>
      </c>
      <c r="AW97" s="23">
        <f>EXP(-LN(2)/2)*AW96+(1-EXP(-LN(2)/2))/(LN(2)/2)*AQ97*AT97*VLOOKUP('Données projet'!$B$10,Paramètres!$A$1:$I$89,3,0)*0.475*44/12</f>
        <v>2.9450660573058217E-9</v>
      </c>
      <c r="AX97" s="23">
        <f t="shared" si="60"/>
        <v>1.5398617179756182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287.29865338866551</v>
      </c>
      <c r="BJ97" s="62">
        <f t="shared" si="92"/>
        <v>217.57508587672368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1.8576281310667195</v>
      </c>
      <c r="BR97" s="23">
        <f>EXP(-LN(2)/2)*BR96+(1-EXP(-LN(2)/2))/(LN(2)/2)*BL97*BO97*VLOOKUP('Données projet'!$B$11,Paramètres!$A$1:$I$89,3,0)*0.475*44/12</f>
        <v>2.995642147143252E-9</v>
      </c>
      <c r="BS97" s="24">
        <f t="shared" si="63"/>
        <v>1.8576281340623617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-1.9065282685915009E-13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302.20483575440988</v>
      </c>
      <c r="T98" s="62">
        <f t="shared" si="88"/>
        <v>275.32862097158687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3.6730848563257492</v>
      </c>
      <c r="AB98" s="23">
        <f>EXP(-LN(2)/2)*AB97+(1-EXP(-LN(2)/2))/(LN(2)/2)*V98*Y98*VLOOKUP('Données projet'!$B$9,Paramètres!$A$1:$I$89,3,0)*0.475*44/12</f>
        <v>1.8122784375195396E-9</v>
      </c>
      <c r="AC98" s="24">
        <f t="shared" si="57"/>
        <v>3.6730848581380275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175.05987582828078</v>
      </c>
      <c r="AO98" s="62">
        <f t="shared" si="90"/>
        <v>268.54782308462387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1.4977541154552336</v>
      </c>
      <c r="AW98" s="23">
        <f>EXP(-LN(2)/2)*AW97+(1-EXP(-LN(2)/2))/(LN(2)/2)*AQ98*AT98*VLOOKUP('Données projet'!$B$10,Paramètres!$A$1:$I$89,3,0)*0.475*44/12</f>
        <v>2.0824761801632759E-9</v>
      </c>
      <c r="AX98" s="23">
        <f t="shared" si="60"/>
        <v>1.4977541175377098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287.29865338866551</v>
      </c>
      <c r="BJ98" s="62">
        <f t="shared" si="92"/>
        <v>217.57508587672368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1.8068311921342823</v>
      </c>
      <c r="BR98" s="23">
        <f>EXP(-LN(2)/2)*BR97+(1-EXP(-LN(2)/2))/(LN(2)/2)*BL98*BO98*VLOOKUP('Données projet'!$B$11,Paramètres!$A$1:$I$89,3,0)*0.475*44/12</f>
        <v>2.1182388762532229E-9</v>
      </c>
      <c r="BS98" s="24">
        <f t="shared" si="63"/>
        <v>1.8068311942525213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-1.9065282685915009E-13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302.20483575440988</v>
      </c>
      <c r="T99" s="62">
        <f t="shared" si="88"/>
        <v>275.32862097158687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3.5726441577703838</v>
      </c>
      <c r="AB99" s="23">
        <f>EXP(-LN(2)/2)*AB98+(1-EXP(-LN(2)/2))/(LN(2)/2)*V99*Y99*VLOOKUP('Données projet'!$B$9,Paramètres!$A$1:$I$89,3,0)*0.475*44/12</f>
        <v>1.2814743725682274E-9</v>
      </c>
      <c r="AC99" s="24">
        <f t="shared" si="57"/>
        <v>3.5726441590518583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175.05987582828078</v>
      </c>
      <c r="AO99" s="62">
        <f t="shared" si="90"/>
        <v>268.54782308462387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1.4567979504046444</v>
      </c>
      <c r="AW99" s="23">
        <f>EXP(-LN(2)/2)*AW98+(1-EXP(-LN(2)/2))/(LN(2)/2)*AQ99*AT99*VLOOKUP('Données projet'!$B$10,Paramètres!$A$1:$I$89,3,0)*0.475*44/12</f>
        <v>1.4725330286529109E-9</v>
      </c>
      <c r="AX99" s="23">
        <f t="shared" si="60"/>
        <v>1.4567979518771774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287.29865338866551</v>
      </c>
      <c r="BJ99" s="62">
        <f t="shared" si="92"/>
        <v>217.57508587672368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1.7574232981682476</v>
      </c>
      <c r="BR99" s="23">
        <f>EXP(-LN(2)/2)*BR98+(1-EXP(-LN(2)/2))/(LN(2)/2)*BL99*BO99*VLOOKUP('Données projet'!$B$11,Paramètres!$A$1:$I$89,3,0)*0.475*44/12</f>
        <v>1.497821073571626E-9</v>
      </c>
      <c r="BS99" s="24">
        <f t="shared" si="63"/>
        <v>1.7574232996660686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-1.9065282685915009E-13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302.20483575440988</v>
      </c>
      <c r="T100" s="62">
        <f t="shared" si="88"/>
        <v>275.32862097158687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3.4749500153989619</v>
      </c>
      <c r="AB100" s="23">
        <f>EXP(-LN(2)/2)*AB99+(1-EXP(-LN(2)/2))/(LN(2)/2)*V100*Y100*VLOOKUP('Données projet'!$B$9,Paramètres!$A$1:$I$89,3,0)*0.475*44/12</f>
        <v>9.0613921875976993E-10</v>
      </c>
      <c r="AC100" s="24">
        <f t="shared" si="57"/>
        <v>3.474950016305101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175.05987582828078</v>
      </c>
      <c r="AO100" s="62">
        <f t="shared" si="90"/>
        <v>268.54782308462387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1.4169617338411549</v>
      </c>
      <c r="AW100" s="23">
        <f>EXP(-LN(2)/2)*AW99+(1-EXP(-LN(2)/2))/(LN(2)/2)*AQ100*AT100*VLOOKUP('Données projet'!$B$10,Paramètres!$A$1:$I$89,3,0)*0.475*44/12</f>
        <v>1.041238090081638E-9</v>
      </c>
      <c r="AX100" s="23">
        <f t="shared" si="60"/>
        <v>1.4169617348823929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287.29865338866551</v>
      </c>
      <c r="BJ100" s="62">
        <f t="shared" si="92"/>
        <v>217.57508587672368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1.7093664656609622</v>
      </c>
      <c r="BR100" s="23">
        <f>EXP(-LN(2)/2)*BR99+(1-EXP(-LN(2)/2))/(LN(2)/2)*BL100*BO100*VLOOKUP('Données projet'!$B$11,Paramètres!$A$1:$I$89,3,0)*0.475*44/12</f>
        <v>1.0591194381266114E-9</v>
      </c>
      <c r="BS100" s="24">
        <f t="shared" si="63"/>
        <v>1.7093664667200816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-1.9065282685915009E-13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302.20483575440988</v>
      </c>
      <c r="T101" s="62">
        <f t="shared" si="88"/>
        <v>275.32862097158687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3.379927324488198</v>
      </c>
      <c r="AB101" s="23">
        <f>EXP(-LN(2)/2)*AB100+(1-EXP(-LN(2)/2))/(LN(2)/2)*V101*Y101*VLOOKUP('Données projet'!$B$9,Paramètres!$A$1:$I$89,3,0)*0.475*44/12</f>
        <v>6.4073718628411381E-10</v>
      </c>
      <c r="AC101" s="24">
        <f t="shared" si="57"/>
        <v>3.3799273251289352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175.05987582828078</v>
      </c>
      <c r="AO101" s="62">
        <f t="shared" si="90"/>
        <v>268.54782308462387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1.3782148407144894</v>
      </c>
      <c r="AW101" s="23">
        <f>EXP(-LN(2)/2)*AW100+(1-EXP(-LN(2)/2))/(LN(2)/2)*AQ101*AT101*VLOOKUP('Données projet'!$B$10,Paramètres!$A$1:$I$89,3,0)*0.475*44/12</f>
        <v>7.3626651432645543E-10</v>
      </c>
      <c r="AX101" s="23">
        <f t="shared" si="60"/>
        <v>1.378214841450756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287.29865338866551</v>
      </c>
      <c r="BJ101" s="62">
        <f t="shared" si="92"/>
        <v>217.57508587672368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1.6626237497657876</v>
      </c>
      <c r="BR101" s="23">
        <f>EXP(-LN(2)/2)*BR100+(1-EXP(-LN(2)/2))/(LN(2)/2)*BL101*BO101*VLOOKUP('Données projet'!$B$11,Paramètres!$A$1:$I$89,3,0)*0.475*44/12</f>
        <v>7.48910536785813E-10</v>
      </c>
      <c r="BS101" s="24">
        <f t="shared" si="63"/>
        <v>1.6626237505146981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-1.9065282685915009E-13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302.20483575440988</v>
      </c>
      <c r="T102" s="62">
        <f t="shared" si="88"/>
        <v>275.32862097158687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3.2875030340574152</v>
      </c>
      <c r="AB102" s="23">
        <f>EXP(-LN(2)/2)*AB101+(1-EXP(-LN(2)/2))/(LN(2)/2)*V102*Y102*VLOOKUP('Données projet'!$B$9,Paramètres!$A$1:$I$89,3,0)*0.475*44/12</f>
        <v>4.5306960937988502E-10</v>
      </c>
      <c r="AC102" s="24">
        <f t="shared" si="57"/>
        <v>3.2875030345104848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175.05987582828078</v>
      </c>
      <c r="AO102" s="62">
        <f t="shared" si="90"/>
        <v>268.54782308462387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1.3405274834179832</v>
      </c>
      <c r="AW102" s="23">
        <f>EXP(-LN(2)/2)*AW101+(1-EXP(-LN(2)/2))/(LN(2)/2)*AQ102*AT102*VLOOKUP('Données projet'!$B$10,Paramètres!$A$1:$I$89,3,0)*0.475*44/12</f>
        <v>5.2061904504081898E-10</v>
      </c>
      <c r="AX102" s="23">
        <f t="shared" si="60"/>
        <v>1.3405274839386023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287.29865338866551</v>
      </c>
      <c r="BJ102" s="62">
        <f t="shared" si="92"/>
        <v>217.57508587672368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1.6171592158948591</v>
      </c>
      <c r="BR102" s="23">
        <f>EXP(-LN(2)/2)*BR101+(1-EXP(-LN(2)/2))/(LN(2)/2)*BL102*BO102*VLOOKUP('Données projet'!$B$11,Paramètres!$A$1:$I$89,3,0)*0.475*44/12</f>
        <v>5.2955971906330571E-10</v>
      </c>
      <c r="BS102" s="24">
        <f t="shared" si="63"/>
        <v>1.6171592164244188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-1.9065282685915009E-13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302.20483575440988</v>
      </c>
      <c r="T103" s="62">
        <f t="shared" si="88"/>
        <v>275.32862097158687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3.1976060907088444</v>
      </c>
      <c r="AB103" s="23">
        <f>EXP(-LN(2)/2)*AB102+(1-EXP(-LN(2)/2))/(LN(2)/2)*V103*Y103*VLOOKUP('Données projet'!$B$9,Paramètres!$A$1:$I$89,3,0)*0.475*44/12</f>
        <v>3.2036859314205696E-10</v>
      </c>
      <c r="AC103" s="24">
        <f t="shared" si="57"/>
        <v>3.197606091029213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175.05987582828078</v>
      </c>
      <c r="AO103" s="62">
        <f t="shared" si="90"/>
        <v>268.54782308462387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1.303870688888642</v>
      </c>
      <c r="AW103" s="23">
        <f>EXP(-LN(2)/2)*AW102+(1-EXP(-LN(2)/2))/(LN(2)/2)*AQ103*AT103*VLOOKUP('Données projet'!$B$10,Paramètres!$A$1:$I$89,3,0)*0.475*44/12</f>
        <v>3.6813325716322772E-10</v>
      </c>
      <c r="AX103" s="23">
        <f t="shared" si="60"/>
        <v>1.3038706892567753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287.29865338866551</v>
      </c>
      <c r="BJ103" s="62">
        <f t="shared" si="92"/>
        <v>217.57508587672368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1.5729379120935072</v>
      </c>
      <c r="BR103" s="23">
        <f>EXP(-LN(2)/2)*BR102+(1-EXP(-LN(2)/2))/(LN(2)/2)*BL103*BO103*VLOOKUP('Données projet'!$B$11,Paramètres!$A$1:$I$89,3,0)*0.475*44/12</f>
        <v>3.744552683929065E-10</v>
      </c>
      <c r="BS103" s="24">
        <f t="shared" si="63"/>
        <v>1.5729379124679626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-1.9065282685915009E-13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302.20483575440988</v>
      </c>
      <c r="T104" s="62">
        <f t="shared" si="88"/>
        <v>275.32862097158687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3.1101673840036148</v>
      </c>
      <c r="AB104" s="23">
        <f>EXP(-LN(2)/2)*AB103+(1-EXP(-LN(2)/2))/(LN(2)/2)*V104*Y104*VLOOKUP('Données projet'!$B$9,Paramètres!$A$1:$I$89,3,0)*0.475*44/12</f>
        <v>2.2653480468994256E-10</v>
      </c>
      <c r="AC104" s="24">
        <f t="shared" si="57"/>
        <v>3.1101673842301496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175.05987582828078</v>
      </c>
      <c r="AO104" s="62">
        <f t="shared" si="90"/>
        <v>268.54782308462387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1.2682162763334026</v>
      </c>
      <c r="AW104" s="23">
        <f>EXP(-LN(2)/2)*AW103+(1-EXP(-LN(2)/2))/(LN(2)/2)*AQ104*AT104*VLOOKUP('Données projet'!$B$10,Paramètres!$A$1:$I$89,3,0)*0.475*44/12</f>
        <v>2.6030952252040949E-10</v>
      </c>
      <c r="AX104" s="23">
        <f t="shared" si="60"/>
        <v>1.2682162765937122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287.29865338866551</v>
      </c>
      <c r="BJ104" s="62">
        <f t="shared" si="92"/>
        <v>217.57508587672368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1.5299258421701005</v>
      </c>
      <c r="BR104" s="23">
        <f>EXP(-LN(2)/2)*BR103+(1-EXP(-LN(2)/2))/(LN(2)/2)*BL104*BO104*VLOOKUP('Données projet'!$B$11,Paramètres!$A$1:$I$89,3,0)*0.475*44/12</f>
        <v>2.6477985953165286E-10</v>
      </c>
      <c r="BS104" s="24">
        <f t="shared" si="63"/>
        <v>1.5299258424348803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-1.9065282685915009E-13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302.20483575440988</v>
      </c>
      <c r="T105" s="62">
        <f t="shared" si="88"/>
        <v>275.32862097158687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3.0251196933314417</v>
      </c>
      <c r="AB105" s="23">
        <f>EXP(-LN(2)/2)*AB104+(1-EXP(-LN(2)/2))/(LN(2)/2)*V105*Y105*VLOOKUP('Données projet'!$B$9,Paramètres!$A$1:$I$89,3,0)*0.475*44/12</f>
        <v>1.601842965710285E-10</v>
      </c>
      <c r="AC105" s="24">
        <f t="shared" si="57"/>
        <v>3.025119693491626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175.05987582828078</v>
      </c>
      <c r="AO105" s="62">
        <f t="shared" si="90"/>
        <v>268.54782308462387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1.2335368355644702</v>
      </c>
      <c r="AW105" s="23">
        <f>EXP(-LN(2)/2)*AW104+(1-EXP(-LN(2)/2))/(LN(2)/2)*AQ105*AT105*VLOOKUP('Données projet'!$B$10,Paramètres!$A$1:$I$89,3,0)*0.475*44/12</f>
        <v>1.8406662858161386E-10</v>
      </c>
      <c r="AX105" s="23">
        <f t="shared" si="60"/>
        <v>1.2335368357485368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287.29865338866551</v>
      </c>
      <c r="BJ105" s="62">
        <f t="shared" si="92"/>
        <v>217.57508587672368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1.4880899395606557</v>
      </c>
      <c r="BR105" s="23">
        <f>EXP(-LN(2)/2)*BR104+(1-EXP(-LN(2)/2))/(LN(2)/2)*BL105*BO105*VLOOKUP('Données projet'!$B$11,Paramètres!$A$1:$I$89,3,0)*0.475*44/12</f>
        <v>1.8722763419645325E-10</v>
      </c>
      <c r="BS105" s="24">
        <f t="shared" si="63"/>
        <v>1.4880899397478833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-1.9065282685915009E-13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302.20483575440988</v>
      </c>
      <c r="T106" s="62">
        <f t="shared" si="88"/>
        <v>275.32862097158687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2.9423976362331627</v>
      </c>
      <c r="AB106" s="23">
        <f>EXP(-LN(2)/2)*AB105+(1-EXP(-LN(2)/2))/(LN(2)/2)*V106*Y106*VLOOKUP('Données projet'!$B$9,Paramètres!$A$1:$I$89,3,0)*0.475*44/12</f>
        <v>1.1326740234497129E-10</v>
      </c>
      <c r="AC106" s="24">
        <f t="shared" si="57"/>
        <v>2.9423976363464304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175.05987582828078</v>
      </c>
      <c r="AO106" s="62">
        <f t="shared" si="90"/>
        <v>268.54782308462387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1.1998057059270768</v>
      </c>
      <c r="AW106" s="23">
        <f>EXP(-LN(2)/2)*AW105+(1-EXP(-LN(2)/2))/(LN(2)/2)*AQ106*AT106*VLOOKUP('Données projet'!$B$10,Paramètres!$A$1:$I$89,3,0)*0.475*44/12</f>
        <v>1.3015476126020474E-10</v>
      </c>
      <c r="AX106" s="23">
        <f t="shared" si="60"/>
        <v>1.1998057060572316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287.29865338866551</v>
      </c>
      <c r="BJ106" s="62">
        <f t="shared" si="92"/>
        <v>217.57508587672368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1.4473980419081207</v>
      </c>
      <c r="BR106" s="23">
        <f>EXP(-LN(2)/2)*BR105+(1-EXP(-LN(2)/2))/(LN(2)/2)*BL106*BO106*VLOOKUP('Données projet'!$B$11,Paramètres!$A$1:$I$89,3,0)*0.475*44/12</f>
        <v>1.3238992976582643E-10</v>
      </c>
      <c r="BS106" s="24">
        <f t="shared" si="63"/>
        <v>1.4473980420405106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-1.9065282685915009E-13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302.20483575440988</v>
      </c>
      <c r="T107" s="62">
        <f t="shared" si="88"/>
        <v>275.32862097158687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2.8619376181364</v>
      </c>
      <c r="AB107" s="23">
        <f>EXP(-LN(2)/2)*AB106+(1-EXP(-LN(2)/2))/(LN(2)/2)*V107*Y107*VLOOKUP('Données projet'!$B$9,Paramètres!$A$1:$I$89,3,0)*0.475*44/12</f>
        <v>8.0092148285514265E-11</v>
      </c>
      <c r="AC107" s="24">
        <f t="shared" si="57"/>
        <v>2.861937618216492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175.05987582828078</v>
      </c>
      <c r="AO107" s="62">
        <f t="shared" si="90"/>
        <v>268.54782308462387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1.166996955803461</v>
      </c>
      <c r="AW107" s="23">
        <f>EXP(-LN(2)/2)*AW106+(1-EXP(-LN(2)/2))/(LN(2)/2)*AQ107*AT107*VLOOKUP('Données projet'!$B$10,Paramètres!$A$1:$I$89,3,0)*0.475*44/12</f>
        <v>9.2033314290806929E-11</v>
      </c>
      <c r="AX107" s="23">
        <f t="shared" si="60"/>
        <v>1.1669969558954942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287.29865338866551</v>
      </c>
      <c r="BJ107" s="62">
        <f t="shared" si="92"/>
        <v>217.57508587672368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1.4078188663367881</v>
      </c>
      <c r="BR107" s="23">
        <f>EXP(-LN(2)/2)*BR106+(1-EXP(-LN(2)/2))/(LN(2)/2)*BL107*BO107*VLOOKUP('Données projet'!$B$11,Paramètres!$A$1:$I$89,3,0)*0.475*44/12</f>
        <v>9.3613817098226625E-11</v>
      </c>
      <c r="BS107" s="24">
        <f t="shared" si="63"/>
        <v>1.4078188664304019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-1.9065282685915009E-13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302.20483575440988</v>
      </c>
      <c r="T108" s="62">
        <f t="shared" si="88"/>
        <v>275.32862097158687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2.783677783465702</v>
      </c>
      <c r="AB108" s="23">
        <f>EXP(-LN(2)/2)*AB107+(1-EXP(-LN(2)/2))/(LN(2)/2)*V108*Y108*VLOOKUP('Données projet'!$B$9,Paramètres!$A$1:$I$89,3,0)*0.475*44/12</f>
        <v>5.6633701172485659E-11</v>
      </c>
      <c r="AC108" s="24">
        <f t="shared" si="57"/>
        <v>2.7836777835223359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175.05987582828078</v>
      </c>
      <c r="AO108" s="62">
        <f t="shared" si="90"/>
        <v>268.54782308462387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1.1350853626773125</v>
      </c>
      <c r="AW108" s="23">
        <f>EXP(-LN(2)/2)*AW107+(1-EXP(-LN(2)/2))/(LN(2)/2)*AQ108*AT108*VLOOKUP('Données projet'!$B$10,Paramètres!$A$1:$I$89,3,0)*0.475*44/12</f>
        <v>6.5077380630102372E-11</v>
      </c>
      <c r="AX108" s="23">
        <f t="shared" si="60"/>
        <v>1.1350853627423898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287.29865338866551</v>
      </c>
      <c r="BJ108" s="62">
        <f t="shared" si="92"/>
        <v>217.57508587672368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1.369321985402832</v>
      </c>
      <c r="BR108" s="23">
        <f>EXP(-LN(2)/2)*BR107+(1-EXP(-LN(2)/2))/(LN(2)/2)*BL108*BO108*VLOOKUP('Données projet'!$B$11,Paramètres!$A$1:$I$89,3,0)*0.475*44/12</f>
        <v>6.6194964882913214E-11</v>
      </c>
      <c r="BS108" s="24">
        <f t="shared" si="63"/>
        <v>1.3693219854690271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-1.9065282685915009E-13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302.20483575440988</v>
      </c>
      <c r="T109" s="62">
        <f t="shared" si="88"/>
        <v>275.32862097158687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2.70755796808958</v>
      </c>
      <c r="AB109" s="23">
        <f>EXP(-LN(2)/2)*AB108+(1-EXP(-LN(2)/2))/(LN(2)/2)*V109*Y109*VLOOKUP('Données projet'!$B$9,Paramètres!$A$1:$I$89,3,0)*0.475*44/12</f>
        <v>4.0046074142757139E-11</v>
      </c>
      <c r="AC109" s="24">
        <f t="shared" si="57"/>
        <v>2.7075579681296262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175.05987582828078</v>
      </c>
      <c r="AO109" s="62">
        <f t="shared" si="90"/>
        <v>268.54782308462387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1.1040463937433564</v>
      </c>
      <c r="AW109" s="23">
        <f>EXP(-LN(2)/2)*AW108+(1-EXP(-LN(2)/2))/(LN(2)/2)*AQ109*AT109*VLOOKUP('Données projet'!$B$10,Paramètres!$A$1:$I$89,3,0)*0.475*44/12</f>
        <v>4.6016657145403465E-11</v>
      </c>
      <c r="AX109" s="23">
        <f t="shared" si="60"/>
        <v>1.1040463937893732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287.29865338866551</v>
      </c>
      <c r="BJ109" s="62">
        <f t="shared" si="92"/>
        <v>217.57508587672368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1.3318778037024779</v>
      </c>
      <c r="BR109" s="23">
        <f>EXP(-LN(2)/2)*BR108+(1-EXP(-LN(2)/2))/(LN(2)/2)*BL109*BO109*VLOOKUP('Données projet'!$B$11,Paramètres!$A$1:$I$89,3,0)*0.475*44/12</f>
        <v>4.6806908549113313E-11</v>
      </c>
      <c r="BS109" s="24">
        <f t="shared" si="63"/>
        <v>1.3318778037492849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-1.9065282685915009E-13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302.20483575440988</v>
      </c>
      <c r="T110" s="62">
        <f t="shared" si="88"/>
        <v>275.32862097158687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2.6335196530678853</v>
      </c>
      <c r="AB110" s="23">
        <f>EXP(-LN(2)/2)*AB109+(1-EXP(-LN(2)/2))/(LN(2)/2)*V110*Y110*VLOOKUP('Données projet'!$B$9,Paramètres!$A$1:$I$89,3,0)*0.475*44/12</f>
        <v>2.8316850586242833E-11</v>
      </c>
      <c r="AC110" s="24">
        <f t="shared" si="57"/>
        <v>2.6335196530962022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175.05987582828078</v>
      </c>
      <c r="AO110" s="62">
        <f t="shared" si="90"/>
        <v>268.54782308462387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1.0738561870471679</v>
      </c>
      <c r="AW110" s="23">
        <f>EXP(-LN(2)/2)*AW109+(1-EXP(-LN(2)/2))/(LN(2)/2)*AQ110*AT110*VLOOKUP('Données projet'!$B$10,Paramètres!$A$1:$I$89,3,0)*0.475*44/12</f>
        <v>3.2538690315051186E-11</v>
      </c>
      <c r="AX110" s="23">
        <f t="shared" si="60"/>
        <v>1.0738561870797065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287.29865338866551</v>
      </c>
      <c r="BJ110" s="62">
        <f t="shared" si="92"/>
        <v>217.57508587672368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1.2954575351198239</v>
      </c>
      <c r="BR110" s="23">
        <f>EXP(-LN(2)/2)*BR109+(1-EXP(-LN(2)/2))/(LN(2)/2)*BL110*BO110*VLOOKUP('Données projet'!$B$11,Paramètres!$A$1:$I$89,3,0)*0.475*44/12</f>
        <v>3.3097482441456607E-11</v>
      </c>
      <c r="BS110" s="24">
        <f t="shared" si="63"/>
        <v>1.2954575351529214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-1.9065282685915009E-13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302.20483575440988</v>
      </c>
      <c r="T111" s="62">
        <f t="shared" si="88"/>
        <v>275.32862097158687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2.5615059196639645</v>
      </c>
      <c r="AB111" s="23">
        <f>EXP(-LN(2)/2)*AB110+(1-EXP(-LN(2)/2))/(LN(2)/2)*V111*Y111*VLOOKUP('Données projet'!$B$9,Paramètres!$A$1:$I$89,3,0)*0.475*44/12</f>
        <v>2.0023037071378573E-11</v>
      </c>
      <c r="AC111" s="24">
        <f t="shared" si="57"/>
        <v>2.5615059196839876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175.05987582828078</v>
      </c>
      <c r="AO111" s="62">
        <f t="shared" si="90"/>
        <v>268.54782308462387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1.0444915331407205</v>
      </c>
      <c r="AW111" s="23">
        <f>EXP(-LN(2)/2)*AW110+(1-EXP(-LN(2)/2))/(LN(2)/2)*AQ111*AT111*VLOOKUP('Données projet'!$B$10,Paramètres!$A$1:$I$89,3,0)*0.475*44/12</f>
        <v>2.3008328572701732E-11</v>
      </c>
      <c r="AX111" s="23">
        <f t="shared" si="60"/>
        <v>1.0444915331637288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287.29865338866551</v>
      </c>
      <c r="BJ111" s="62">
        <f t="shared" si="92"/>
        <v>217.57508587672368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1.2600331806968212</v>
      </c>
      <c r="BR111" s="23">
        <f>EXP(-LN(2)/2)*BR110+(1-EXP(-LN(2)/2))/(LN(2)/2)*BL111*BO111*VLOOKUP('Données projet'!$B$11,Paramètres!$A$1:$I$89,3,0)*0.475*44/12</f>
        <v>2.3403454274556656E-11</v>
      </c>
      <c r="BS111" s="24">
        <f t="shared" si="63"/>
        <v>1.2600331807202247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-1.9065282685915009E-13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302.20483575440988</v>
      </c>
      <c r="T112" s="62">
        <f t="shared" si="88"/>
        <v>275.32862097158687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2.4914614055870112</v>
      </c>
      <c r="AB112" s="23">
        <f>EXP(-LN(2)/2)*AB111+(1-EXP(-LN(2)/2))/(LN(2)/2)*V112*Y112*VLOOKUP('Données projet'!$B$9,Paramètres!$A$1:$I$89,3,0)*0.475*44/12</f>
        <v>1.4158425293121418E-11</v>
      </c>
      <c r="AC112" s="24">
        <f t="shared" si="57"/>
        <v>2.4914614056011697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175.05987582828078</v>
      </c>
      <c r="AO112" s="62">
        <f t="shared" si="90"/>
        <v>268.54782308462387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1.015929857239565</v>
      </c>
      <c r="AW112" s="23">
        <f>EXP(-LN(2)/2)*AW111+(1-EXP(-LN(2)/2))/(LN(2)/2)*AQ112*AT112*VLOOKUP('Données projet'!$B$10,Paramètres!$A$1:$I$89,3,0)*0.475*44/12</f>
        <v>1.6269345157525593E-11</v>
      </c>
      <c r="AX112" s="23">
        <f t="shared" si="60"/>
        <v>1.0159298572558344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287.29865338866551</v>
      </c>
      <c r="BJ112" s="62">
        <f t="shared" si="92"/>
        <v>217.57508587672368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1.2255775071084016</v>
      </c>
      <c r="BR112" s="23">
        <f>EXP(-LN(2)/2)*BR111+(1-EXP(-LN(2)/2))/(LN(2)/2)*BL112*BO112*VLOOKUP('Données projet'!$B$11,Paramètres!$A$1:$I$89,3,0)*0.475*44/12</f>
        <v>1.6548741220728304E-11</v>
      </c>
      <c r="BS112" s="24">
        <f t="shared" si="63"/>
        <v>1.2255775071249504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-1.9065282685915009E-13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302.20483575440988</v>
      </c>
      <c r="T113" s="62">
        <f t="shared" si="88"/>
        <v>275.32862097158687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2.4233322624309732</v>
      </c>
      <c r="AB113" s="23">
        <f>EXP(-LN(2)/2)*AB112+(1-EXP(-LN(2)/2))/(LN(2)/2)*V113*Y113*VLOOKUP('Données projet'!$B$9,Paramètres!$A$1:$I$89,3,0)*0.475*44/12</f>
        <v>1.0011518535689288E-11</v>
      </c>
      <c r="AC113" s="24">
        <f t="shared" si="57"/>
        <v>2.4233322624409848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175.05987582828078</v>
      </c>
      <c r="AO113" s="62">
        <f t="shared" si="90"/>
        <v>268.54782308462387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0.98814920186791977</v>
      </c>
      <c r="AW113" s="23">
        <f>EXP(-LN(2)/2)*AW112+(1-EXP(-LN(2)/2))/(LN(2)/2)*AQ113*AT113*VLOOKUP('Données projet'!$B$10,Paramètres!$A$1:$I$89,3,0)*0.475*44/12</f>
        <v>1.1504164286350866E-11</v>
      </c>
      <c r="AX113" s="23">
        <f t="shared" si="60"/>
        <v>0.9881492018794239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287.29865338866551</v>
      </c>
      <c r="BJ113" s="62">
        <f t="shared" si="92"/>
        <v>217.57508587672368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1.1920640257262023</v>
      </c>
      <c r="BR113" s="23">
        <f>EXP(-LN(2)/2)*BR112+(1-EXP(-LN(2)/2))/(LN(2)/2)*BL113*BO113*VLOOKUP('Données projet'!$B$11,Paramètres!$A$1:$I$89,3,0)*0.475*44/12</f>
        <v>1.1701727137278328E-11</v>
      </c>
      <c r="BS113" s="24">
        <f t="shared" si="63"/>
        <v>1.192064025737904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-1.9065282685915009E-13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302.20483575440988</v>
      </c>
      <c r="T114" s="62">
        <f t="shared" si="88"/>
        <v>275.32862097158687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2.3570661142772931</v>
      </c>
      <c r="AB114" s="23">
        <f>EXP(-LN(2)/2)*AB113+(1-EXP(-LN(2)/2))/(LN(2)/2)*V114*Y114*VLOOKUP('Données projet'!$B$9,Paramètres!$A$1:$I$89,3,0)*0.475*44/12</f>
        <v>7.0792126465607106E-12</v>
      </c>
      <c r="AC114" s="24">
        <f t="shared" si="57"/>
        <v>2.3570661142843723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175.05987582828078</v>
      </c>
      <c r="AO114" s="62">
        <f t="shared" si="90"/>
        <v>268.54782308462387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0.96112820997833337</v>
      </c>
      <c r="AW114" s="23">
        <f>EXP(-LN(2)/2)*AW113+(1-EXP(-LN(2)/2))/(LN(2)/2)*AQ114*AT114*VLOOKUP('Données projet'!$B$10,Paramètres!$A$1:$I$89,3,0)*0.475*44/12</f>
        <v>8.1346725787627965E-12</v>
      </c>
      <c r="AX114" s="23">
        <f t="shared" si="60"/>
        <v>0.96112820998646809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287.29865338866551</v>
      </c>
      <c r="BJ114" s="62">
        <f t="shared" si="92"/>
        <v>217.57508587672368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1.1594669722547968</v>
      </c>
      <c r="BR114" s="23">
        <f>EXP(-LN(2)/2)*BR113+(1-EXP(-LN(2)/2))/(LN(2)/2)*BL114*BO114*VLOOKUP('Données projet'!$B$11,Paramètres!$A$1:$I$89,3,0)*0.475*44/12</f>
        <v>8.2743706103641518E-12</v>
      </c>
      <c r="BS114" s="24">
        <f t="shared" si="63"/>
        <v>1.159466972263071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-1.9065282685915009E-13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302.20483575440988</v>
      </c>
      <c r="T115" s="62">
        <f t="shared" si="88"/>
        <v>275.32862097158687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2.2926120174296605</v>
      </c>
      <c r="AB115" s="23">
        <f>EXP(-LN(2)/2)*AB114+(1-EXP(-LN(2)/2))/(LN(2)/2)*V115*Y115*VLOOKUP('Données projet'!$B$9,Paramètres!$A$1:$I$89,3,0)*0.475*44/12</f>
        <v>5.0057592678446448E-12</v>
      </c>
      <c r="AC115" s="24">
        <f t="shared" si="57"/>
        <v>2.2926120174346662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175.05987582828078</v>
      </c>
      <c r="AO115" s="62">
        <f t="shared" si="90"/>
        <v>268.54782308462387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0.93484610853293992</v>
      </c>
      <c r="AW115" s="23">
        <f>EXP(-LN(2)/2)*AW114+(1-EXP(-LN(2)/2))/(LN(2)/2)*AQ115*AT115*VLOOKUP('Données projet'!$B$10,Paramètres!$A$1:$I$89,3,0)*0.475*44/12</f>
        <v>5.7520821431754331E-12</v>
      </c>
      <c r="AX115" s="23">
        <f t="shared" si="60"/>
        <v>0.93484610853869199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287.29865338866551</v>
      </c>
      <c r="BJ115" s="62">
        <f t="shared" si="92"/>
        <v>217.57508587672368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1.1277612869247713</v>
      </c>
      <c r="BR115" s="23">
        <f>EXP(-LN(2)/2)*BR114+(1-EXP(-LN(2)/2))/(LN(2)/2)*BL115*BO115*VLOOKUP('Données projet'!$B$11,Paramètres!$A$1:$I$89,3,0)*0.475*44/12</f>
        <v>5.8508635686391641E-12</v>
      </c>
      <c r="BS115" s="24">
        <f t="shared" si="63"/>
        <v>1.1277612869306222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-1.9065282685915009E-13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302.20483575440988</v>
      </c>
      <c r="T116" s="62">
        <f t="shared" si="88"/>
        <v>275.32862097158687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2.2299204212498203</v>
      </c>
      <c r="AB116" s="23">
        <f>EXP(-LN(2)/2)*AB115+(1-EXP(-LN(2)/2))/(LN(2)/2)*V116*Y116*VLOOKUP('Données projet'!$B$9,Paramètres!$A$1:$I$89,3,0)*0.475*44/12</f>
        <v>3.5396063232803557E-12</v>
      </c>
      <c r="AC116" s="24">
        <f t="shared" si="57"/>
        <v>2.2299204212533597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175.05987582828078</v>
      </c>
      <c r="AO116" s="62">
        <f t="shared" si="90"/>
        <v>268.54782308462387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0.90928269253368643</v>
      </c>
      <c r="AW116" s="23">
        <f>EXP(-LN(2)/2)*AW115+(1-EXP(-LN(2)/2))/(LN(2)/2)*AQ116*AT116*VLOOKUP('Données projet'!$B$10,Paramètres!$A$1:$I$89,3,0)*0.475*44/12</f>
        <v>4.0673362893813983E-12</v>
      </c>
      <c r="AX116" s="23">
        <f t="shared" si="60"/>
        <v>0.90928269253775373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287.29865338866551</v>
      </c>
      <c r="BJ116" s="62">
        <f t="shared" si="92"/>
        <v>217.57508587672368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1.0969225952274249</v>
      </c>
      <c r="BR116" s="23">
        <f>EXP(-LN(2)/2)*BR115+(1-EXP(-LN(2)/2))/(LN(2)/2)*BL116*BO116*VLOOKUP('Données projet'!$B$11,Paramètres!$A$1:$I$89,3,0)*0.475*44/12</f>
        <v>4.1371853051820759E-12</v>
      </c>
      <c r="BS116" s="24">
        <f t="shared" si="63"/>
        <v>1.096922595231562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-1.9065282685915009E-13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302.20483575440988</v>
      </c>
      <c r="T117" s="62">
        <f t="shared" si="88"/>
        <v>275.32862097158687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2.1689431300643256</v>
      </c>
      <c r="AB117" s="23">
        <f>EXP(-LN(2)/2)*AB116+(1-EXP(-LN(2)/2))/(LN(2)/2)*V117*Y117*VLOOKUP('Données projet'!$B$9,Paramètres!$A$1:$I$89,3,0)*0.475*44/12</f>
        <v>2.5028796339223228E-12</v>
      </c>
      <c r="AC117" s="24">
        <f t="shared" si="57"/>
        <v>2.1689431300668285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175.05987582828078</v>
      </c>
      <c r="AO117" s="62">
        <f t="shared" si="90"/>
        <v>268.54782308462387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0.88441830948925415</v>
      </c>
      <c r="AW117" s="23">
        <f>EXP(-LN(2)/2)*AW116+(1-EXP(-LN(2)/2))/(LN(2)/2)*AQ117*AT117*VLOOKUP('Données projet'!$B$10,Paramètres!$A$1:$I$89,3,0)*0.475*44/12</f>
        <v>2.8760410715877165E-12</v>
      </c>
      <c r="AX117" s="23">
        <f t="shared" si="60"/>
        <v>0.88441830949213018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287.29865338866551</v>
      </c>
      <c r="BJ117" s="62">
        <f t="shared" si="92"/>
        <v>217.57508587672368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1.0669271891762786</v>
      </c>
      <c r="BR117" s="23">
        <f>EXP(-LN(2)/2)*BR116+(1-EXP(-LN(2)/2))/(LN(2)/2)*BL117*BO117*VLOOKUP('Données projet'!$B$11,Paramètres!$A$1:$I$89,3,0)*0.475*44/12</f>
        <v>2.925431784319582E-12</v>
      </c>
      <c r="BS117" s="24">
        <f t="shared" si="63"/>
        <v>1.066927189179204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-1.9065282685915009E-13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302.20483575440988</v>
      </c>
      <c r="T118" s="62">
        <f t="shared" si="88"/>
        <v>275.32862097158687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2.1096332661129544</v>
      </c>
      <c r="AB118" s="23">
        <f>EXP(-LN(2)/2)*AB117+(1-EXP(-LN(2)/2))/(LN(2)/2)*V118*Y118*VLOOKUP('Données projet'!$B$9,Paramètres!$A$1:$I$89,3,0)*0.475*44/12</f>
        <v>1.7698031616401783E-12</v>
      </c>
      <c r="AC118" s="24">
        <f t="shared" si="57"/>
        <v>2.1096332661147241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175.05987582828078</v>
      </c>
      <c r="AO118" s="62">
        <f t="shared" si="90"/>
        <v>268.54782308462387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0.860233844306733</v>
      </c>
      <c r="AW118" s="23">
        <f>EXP(-LN(2)/2)*AW117+(1-EXP(-LN(2)/2))/(LN(2)/2)*AQ118*AT118*VLOOKUP('Données projet'!$B$10,Paramètres!$A$1:$I$89,3,0)*0.475*44/12</f>
        <v>2.0336681446906991E-12</v>
      </c>
      <c r="AX118" s="23">
        <f t="shared" si="60"/>
        <v>0.8602338443087667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287.29865338866551</v>
      </c>
      <c r="BJ118" s="62">
        <f t="shared" si="92"/>
        <v>217.57508587672368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1.0377520090809909</v>
      </c>
      <c r="BR118" s="23">
        <f>EXP(-LN(2)/2)*BR117+(1-EXP(-LN(2)/2))/(LN(2)/2)*BL118*BO118*VLOOKUP('Données projet'!$B$11,Paramètres!$A$1:$I$89,3,0)*0.475*44/12</f>
        <v>2.0685926525910379E-12</v>
      </c>
      <c r="BS118" s="24">
        <f t="shared" si="63"/>
        <v>1.0377520090830594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-1.9065282685915009E-13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302.20483575440988</v>
      </c>
      <c r="T119" s="62">
        <f t="shared" si="88"/>
        <v>275.32862097158687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2.0519452335103039</v>
      </c>
      <c r="AB119" s="23">
        <f>EXP(-LN(2)/2)*AB118+(1-EXP(-LN(2)/2))/(LN(2)/2)*V119*Y119*VLOOKUP('Données projet'!$B$9,Paramètres!$A$1:$I$89,3,0)*0.475*44/12</f>
        <v>1.2514398169611616E-12</v>
      </c>
      <c r="AC119" s="24">
        <f t="shared" si="57"/>
        <v>2.0519452335115553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175.05987582828078</v>
      </c>
      <c r="AO119" s="62">
        <f t="shared" si="90"/>
        <v>268.54782308462387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0.8367107045964336</v>
      </c>
      <c r="AW119" s="23">
        <f>EXP(-LN(2)/2)*AW118+(1-EXP(-LN(2)/2))/(LN(2)/2)*AQ119*AT119*VLOOKUP('Données projet'!$B$10,Paramètres!$A$1:$I$89,3,0)*0.475*44/12</f>
        <v>1.4380205357938583E-12</v>
      </c>
      <c r="AX119" s="23">
        <f t="shared" si="60"/>
        <v>0.83671070459787167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287.29865338866551</v>
      </c>
      <c r="BJ119" s="62">
        <f t="shared" si="92"/>
        <v>217.57508587672368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1.0093746258196648</v>
      </c>
      <c r="BR119" s="23">
        <f>EXP(-LN(2)/2)*BR118+(1-EXP(-LN(2)/2))/(LN(2)/2)*BL119*BO119*VLOOKUP('Données projet'!$B$11,Paramètres!$A$1:$I$89,3,0)*0.475*44/12</f>
        <v>1.462715892159791E-12</v>
      </c>
      <c r="BS119" s="24">
        <f t="shared" si="63"/>
        <v>1.0093746258211274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-1.9065282685915009E-13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302.20483575440988</v>
      </c>
      <c r="T120" s="62">
        <f t="shared" si="88"/>
        <v>275.32862097158687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1.9958346831928546</v>
      </c>
      <c r="AB120" s="23">
        <f>EXP(-LN(2)/2)*AB119+(1-EXP(-LN(2)/2))/(LN(2)/2)*V120*Y120*VLOOKUP('Données projet'!$B$9,Paramètres!$A$1:$I$89,3,0)*0.475*44/12</f>
        <v>8.8490158082008923E-13</v>
      </c>
      <c r="AC120" s="24">
        <f t="shared" si="57"/>
        <v>1.9958346831937395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175.05987582828078</v>
      </c>
      <c r="AO120" s="62">
        <f t="shared" si="90"/>
        <v>268.54782308462387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0.81383080637854044</v>
      </c>
      <c r="AW120" s="23">
        <f>EXP(-LN(2)/2)*AW119+(1-EXP(-LN(2)/2))/(LN(2)/2)*AQ120*AT120*VLOOKUP('Données projet'!$B$10,Paramètres!$A$1:$I$89,3,0)*0.475*44/12</f>
        <v>1.0168340723453496E-12</v>
      </c>
      <c r="AX120" s="23">
        <f t="shared" si="60"/>
        <v>0.81383080637955729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287.29865338866551</v>
      </c>
      <c r="BJ120" s="62">
        <f t="shared" si="92"/>
        <v>217.57508587672368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0.98177322359592145</v>
      </c>
      <c r="BR120" s="23">
        <f>EXP(-LN(2)/2)*BR119+(1-EXP(-LN(2)/2))/(LN(2)/2)*BL120*BO120*VLOOKUP('Données projet'!$B$11,Paramètres!$A$1:$I$89,3,0)*0.475*44/12</f>
        <v>1.034296326295519E-12</v>
      </c>
      <c r="BS120" s="24">
        <f t="shared" si="63"/>
        <v>0.98177322359695574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-1.9065282685915009E-13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302.20483575440988</v>
      </c>
      <c r="T121" s="62">
        <f t="shared" si="88"/>
        <v>275.32862097158687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1.9412584788245615</v>
      </c>
      <c r="AB121" s="23">
        <f>EXP(-LN(2)/2)*AB120+(1-EXP(-LN(2)/2))/(LN(2)/2)*V121*Y121*VLOOKUP('Données projet'!$B$9,Paramètres!$A$1:$I$89,3,0)*0.475*44/12</f>
        <v>6.257199084805809E-13</v>
      </c>
      <c r="AC121" s="24">
        <f t="shared" si="57"/>
        <v>1.9412584788251872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175.05987582828078</v>
      </c>
      <c r="AO121" s="62">
        <f t="shared" si="90"/>
        <v>268.54782308462387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0.79157656018061717</v>
      </c>
      <c r="AW121" s="23">
        <f>EXP(-LN(2)/2)*AW120+(1-EXP(-LN(2)/2))/(LN(2)/2)*AQ121*AT121*VLOOKUP('Données projet'!$B$10,Paramètres!$A$1:$I$89,3,0)*0.475*44/12</f>
        <v>7.1901026789692914E-13</v>
      </c>
      <c r="AX121" s="23">
        <f t="shared" si="60"/>
        <v>0.79157656018133615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287.29865338866551</v>
      </c>
      <c r="BJ121" s="62">
        <f t="shared" si="92"/>
        <v>217.57508587672368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0.95492658316748102</v>
      </c>
      <c r="BR121" s="23">
        <f>EXP(-LN(2)/2)*BR120+(1-EXP(-LN(2)/2))/(LN(2)/2)*BL121*BO121*VLOOKUP('Données projet'!$B$11,Paramètres!$A$1:$I$89,3,0)*0.475*44/12</f>
        <v>7.3135794607989551E-13</v>
      </c>
      <c r="BS121" s="24">
        <f t="shared" si="63"/>
        <v>0.95492658316821233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-1.9065282685915009E-13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302.20483575440988</v>
      </c>
      <c r="T122" s="62">
        <f t="shared" si="88"/>
        <v>275.32862097158687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1.8881746636347572</v>
      </c>
      <c r="AB122" s="23">
        <f>EXP(-LN(2)/2)*AB121+(1-EXP(-LN(2)/2))/(LN(2)/2)*V122*Y122*VLOOKUP('Données projet'!$B$9,Paramètres!$A$1:$I$89,3,0)*0.475*44/12</f>
        <v>4.4245079041004472E-13</v>
      </c>
      <c r="AC122" s="24">
        <f t="shared" si="57"/>
        <v>1.8881746636351997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175.05987582828078</v>
      </c>
      <c r="AO122" s="62">
        <f t="shared" si="90"/>
        <v>268.54782308462387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0.76993085751527612</v>
      </c>
      <c r="AW122" s="23">
        <f>EXP(-LN(2)/2)*AW121+(1-EXP(-LN(2)/2))/(LN(2)/2)*AQ122*AT122*VLOOKUP('Données projet'!$B$10,Paramètres!$A$1:$I$89,3,0)*0.475*44/12</f>
        <v>5.0841703617267478E-13</v>
      </c>
      <c r="AX122" s="23">
        <f t="shared" si="60"/>
        <v>0.76993085751578449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287.29865338866551</v>
      </c>
      <c r="BJ122" s="62">
        <f t="shared" si="92"/>
        <v>217.57508587672368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0.92881406553335977</v>
      </c>
      <c r="BR122" s="23">
        <f>EXP(-LN(2)/2)*BR121+(1-EXP(-LN(2)/2))/(LN(2)/2)*BL122*BO122*VLOOKUP('Données projet'!$B$11,Paramètres!$A$1:$I$89,3,0)*0.475*44/12</f>
        <v>5.1714816314775949E-13</v>
      </c>
      <c r="BS122" s="24">
        <f t="shared" si="63"/>
        <v>0.92881406553387691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-1.9065282685915009E-13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302.20483575440988</v>
      </c>
      <c r="T123" s="62">
        <f t="shared" si="88"/>
        <v>275.32862097158687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1.8365424281628746</v>
      </c>
      <c r="AB123" s="23">
        <f>EXP(-LN(2)/2)*AB122+(1-EXP(-LN(2)/2))/(LN(2)/2)*V123*Y123*VLOOKUP('Données projet'!$B$9,Paramètres!$A$1:$I$89,3,0)*0.475*44/12</f>
        <v>3.128599542402905E-13</v>
      </c>
      <c r="AC123" s="24">
        <f t="shared" si="57"/>
        <v>1.8365424281631875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175.05987582828078</v>
      </c>
      <c r="AO123" s="62">
        <f t="shared" si="90"/>
        <v>268.54782308462387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0.74887705772761681</v>
      </c>
      <c r="AW123" s="23">
        <f>EXP(-LN(2)/2)*AW122+(1-EXP(-LN(2)/2))/(LN(2)/2)*AQ123*AT123*VLOOKUP('Données projet'!$B$10,Paramètres!$A$1:$I$89,3,0)*0.475*44/12</f>
        <v>3.5950513394846457E-13</v>
      </c>
      <c r="AX123" s="23">
        <f t="shared" si="60"/>
        <v>0.7488770577279763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287.29865338866551</v>
      </c>
      <c r="BJ123" s="62">
        <f t="shared" si="92"/>
        <v>217.57508587672368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0.90341559606714117</v>
      </c>
      <c r="BR123" s="23">
        <f>EXP(-LN(2)/2)*BR122+(1-EXP(-LN(2)/2))/(LN(2)/2)*BL123*BO123*VLOOKUP('Données projet'!$B$11,Paramètres!$A$1:$I$89,3,0)*0.475*44/12</f>
        <v>3.6567897303994775E-13</v>
      </c>
      <c r="BS123" s="24">
        <f t="shared" si="63"/>
        <v>0.90341559606750688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-1.9065282685915009E-13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302.20483575440988</v>
      </c>
      <c r="T124" s="62">
        <f t="shared" si="88"/>
        <v>275.32862097158687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1.7863220788851919</v>
      </c>
      <c r="AB124" s="23">
        <f>EXP(-LN(2)/2)*AB123+(1-EXP(-LN(2)/2))/(LN(2)/2)*V124*Y124*VLOOKUP('Données projet'!$B$9,Paramètres!$A$1:$I$89,3,0)*0.475*44/12</f>
        <v>2.2122539520502238E-13</v>
      </c>
      <c r="AC124" s="24">
        <f t="shared" si="57"/>
        <v>1.7863220788854131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175.05987582828078</v>
      </c>
      <c r="AO124" s="62">
        <f t="shared" si="90"/>
        <v>268.54782308462387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0.72839897520232222</v>
      </c>
      <c r="AW124" s="23">
        <f>EXP(-LN(2)/2)*AW123+(1-EXP(-LN(2)/2))/(LN(2)/2)*AQ124*AT124*VLOOKUP('Données projet'!$B$10,Paramètres!$A$1:$I$89,3,0)*0.475*44/12</f>
        <v>2.5420851808633739E-13</v>
      </c>
      <c r="AX124" s="23">
        <f t="shared" si="60"/>
        <v>0.72839897520257646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287.29865338866551</v>
      </c>
      <c r="BJ124" s="62">
        <f t="shared" si="92"/>
        <v>217.57508587672368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0.8787116490841238</v>
      </c>
      <c r="BR124" s="23">
        <f>EXP(-LN(2)/2)*BR123+(1-EXP(-LN(2)/2))/(LN(2)/2)*BL124*BO124*VLOOKUP('Données projet'!$B$11,Paramètres!$A$1:$I$89,3,0)*0.475*44/12</f>
        <v>2.5857408157387974E-13</v>
      </c>
      <c r="BS124" s="24">
        <f t="shared" si="63"/>
        <v>0.87871164908438237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-1.9065282685915009E-13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302.20483575440988</v>
      </c>
      <c r="T125" s="62">
        <f t="shared" si="88"/>
        <v>275.32862097158687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1.7374750076994809</v>
      </c>
      <c r="AB125" s="23">
        <f>EXP(-LN(2)/2)*AB124+(1-EXP(-LN(2)/2))/(LN(2)/2)*V125*Y125*VLOOKUP('Données projet'!$B$9,Paramètres!$A$1:$I$89,3,0)*0.475*44/12</f>
        <v>1.5642997712014528E-13</v>
      </c>
      <c r="AC125" s="24">
        <f t="shared" si="57"/>
        <v>1.7374750076996373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175.05987582828078</v>
      </c>
      <c r="AO125" s="62">
        <f t="shared" si="90"/>
        <v>268.54782308462387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0.70848086692057743</v>
      </c>
      <c r="AW125" s="23">
        <f>EXP(-LN(2)/2)*AW124+(1-EXP(-LN(2)/2))/(LN(2)/2)*AQ125*AT125*VLOOKUP('Données projet'!$B$10,Paramètres!$A$1:$I$89,3,0)*0.475*44/12</f>
        <v>1.7975256697423228E-13</v>
      </c>
      <c r="AX125" s="23">
        <f t="shared" si="60"/>
        <v>0.70848086692075718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287.29865338866551</v>
      </c>
      <c r="BJ125" s="62">
        <f t="shared" si="92"/>
        <v>217.57508587672368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0.85468323283048109</v>
      </c>
      <c r="BR125" s="23">
        <f>EXP(-LN(2)/2)*BR124+(1-EXP(-LN(2)/2))/(LN(2)/2)*BL125*BO125*VLOOKUP('Données projet'!$B$11,Paramètres!$A$1:$I$89,3,0)*0.475*44/12</f>
        <v>1.8283948651997388E-13</v>
      </c>
      <c r="BS125" s="24">
        <f t="shared" si="63"/>
        <v>0.85468323283066394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-1.9065282685915009E-13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302.20483575440988</v>
      </c>
      <c r="T126" s="62">
        <f t="shared" si="88"/>
        <v>275.32862097158687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1.689963662244099</v>
      </c>
      <c r="AB126" s="23">
        <f>EXP(-LN(2)/2)*AB125+(1-EXP(-LN(2)/2))/(LN(2)/2)*V126*Y126*VLOOKUP('Données projet'!$B$9,Paramètres!$A$1:$I$89,3,0)*0.475*44/12</f>
        <v>1.106126976025112E-13</v>
      </c>
      <c r="AC126" s="24">
        <f t="shared" si="57"/>
        <v>1.6899636622442096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175.05987582828078</v>
      </c>
      <c r="AO126" s="62">
        <f t="shared" si="90"/>
        <v>268.54782308462387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0.6891074203572447</v>
      </c>
      <c r="AW126" s="23">
        <f>EXP(-LN(2)/2)*AW125+(1-EXP(-LN(2)/2))/(LN(2)/2)*AQ126*AT126*VLOOKUP('Données projet'!$B$10,Paramètres!$A$1:$I$89,3,0)*0.475*44/12</f>
        <v>1.271042590431687E-13</v>
      </c>
      <c r="AX126" s="23">
        <f t="shared" si="60"/>
        <v>0.68910742035737182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287.29865338866551</v>
      </c>
      <c r="BJ126" s="62">
        <f t="shared" si="92"/>
        <v>217.57508587672368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0.83131187488289382</v>
      </c>
      <c r="BR126" s="23">
        <f>EXP(-LN(2)/2)*BR125+(1-EXP(-LN(2)/2))/(LN(2)/2)*BL126*BO126*VLOOKUP('Données projet'!$B$11,Paramètres!$A$1:$I$89,3,0)*0.475*44/12</f>
        <v>1.2928704078693987E-13</v>
      </c>
      <c r="BS126" s="24">
        <f t="shared" si="63"/>
        <v>0.83131187488302316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-1.9065282685915009E-13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302.20483575440988</v>
      </c>
      <c r="T127" s="62">
        <f t="shared" si="88"/>
        <v>275.32862097158687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1.6437515170287076</v>
      </c>
      <c r="AB127" s="23">
        <f>EXP(-LN(2)/2)*AB126+(1-EXP(-LN(2)/2))/(LN(2)/2)*V127*Y127*VLOOKUP('Données projet'!$B$9,Paramètres!$A$1:$I$89,3,0)*0.475*44/12</f>
        <v>7.8214988560072651E-14</v>
      </c>
      <c r="AC127" s="24">
        <f t="shared" si="57"/>
        <v>1.6437515170287857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175.05987582828078</v>
      </c>
      <c r="AO127" s="62">
        <f t="shared" si="90"/>
        <v>268.54782308462387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0.67026374170899161</v>
      </c>
      <c r="AW127" s="23">
        <f>EXP(-LN(2)/2)*AW126+(1-EXP(-LN(2)/2))/(LN(2)/2)*AQ127*AT127*VLOOKUP('Données projet'!$B$10,Paramètres!$A$1:$I$89,3,0)*0.475*44/12</f>
        <v>8.9876283487116142E-14</v>
      </c>
      <c r="AX127" s="23">
        <f t="shared" si="60"/>
        <v>0.67026374170908154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287.29865338866551</v>
      </c>
      <c r="BJ127" s="62">
        <f t="shared" si="92"/>
        <v>217.57508587672368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0.80857960794742956</v>
      </c>
      <c r="BR127" s="23">
        <f>EXP(-LN(2)/2)*BR126+(1-EXP(-LN(2)/2))/(LN(2)/2)*BL127*BO127*VLOOKUP('Données projet'!$B$11,Paramètres!$A$1:$I$89,3,0)*0.475*44/12</f>
        <v>9.1419743259986939E-14</v>
      </c>
      <c r="BS127" s="24">
        <f t="shared" si="63"/>
        <v>0.80857960794752093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-1.9065282685915009E-13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302.20483575440988</v>
      </c>
      <c r="T128" s="62">
        <f t="shared" si="88"/>
        <v>275.32862097158687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1.5988030453544222</v>
      </c>
      <c r="AB128" s="23">
        <f>EXP(-LN(2)/2)*AB127+(1-EXP(-LN(2)/2))/(LN(2)/2)*V128*Y128*VLOOKUP('Données projet'!$B$9,Paramètres!$A$1:$I$89,3,0)*0.475*44/12</f>
        <v>5.5306348801255615E-14</v>
      </c>
      <c r="AC128" s="24">
        <f t="shared" si="57"/>
        <v>1.5988030453544775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175.05987582828078</v>
      </c>
      <c r="AO128" s="62">
        <f t="shared" si="90"/>
        <v>268.54782308462387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0.651935344444321</v>
      </c>
      <c r="AW128" s="23">
        <f>EXP(-LN(2)/2)*AW127+(1-EXP(-LN(2)/2))/(LN(2)/2)*AQ128*AT128*VLOOKUP('Données projet'!$B$10,Paramètres!$A$1:$I$89,3,0)*0.475*44/12</f>
        <v>6.3552129521584348E-14</v>
      </c>
      <c r="AX128" s="23">
        <f t="shared" si="60"/>
        <v>0.6519353444443845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287.29865338866551</v>
      </c>
      <c r="BJ128" s="62">
        <f t="shared" si="92"/>
        <v>217.57508587672368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0.7864689560467536</v>
      </c>
      <c r="BR128" s="23">
        <f>EXP(-LN(2)/2)*BR127+(1-EXP(-LN(2)/2))/(LN(2)/2)*BL128*BO128*VLOOKUP('Données projet'!$B$11,Paramètres!$A$1:$I$89,3,0)*0.475*44/12</f>
        <v>6.4643520393469936E-14</v>
      </c>
      <c r="BS128" s="24">
        <f t="shared" si="63"/>
        <v>0.78646895604681821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-1.9065282685915009E-13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302.20483575440988</v>
      </c>
      <c r="T129" s="62">
        <f t="shared" si="88"/>
        <v>275.32862097158687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1.5550836920018074</v>
      </c>
      <c r="AB129" s="23">
        <f>EXP(-LN(2)/2)*AB128+(1-EXP(-LN(2)/2))/(LN(2)/2)*V129*Y129*VLOOKUP('Données projet'!$B$9,Paramètres!$A$1:$I$89,3,0)*0.475*44/12</f>
        <v>3.9107494280036332E-14</v>
      </c>
      <c r="AC129" s="24">
        <f t="shared" si="57"/>
        <v>1.5550836920018465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175.05987582828078</v>
      </c>
      <c r="AO129" s="62">
        <f t="shared" si="90"/>
        <v>268.54782308462387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0.63410813816670131</v>
      </c>
      <c r="AW129" s="23">
        <f>EXP(-LN(2)/2)*AW128+(1-EXP(-LN(2)/2))/(LN(2)/2)*AQ129*AT129*VLOOKUP('Données projet'!$B$10,Paramètres!$A$1:$I$89,3,0)*0.475*44/12</f>
        <v>4.4938141743558071E-14</v>
      </c>
      <c r="AX129" s="23">
        <f t="shared" si="60"/>
        <v>0.63410813816674627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287.29865338866551</v>
      </c>
      <c r="BJ129" s="62">
        <f t="shared" si="92"/>
        <v>217.57508587672368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0.76496292108505026</v>
      </c>
      <c r="BR129" s="23">
        <f>EXP(-LN(2)/2)*BR128+(1-EXP(-LN(2)/2))/(LN(2)/2)*BL129*BO129*VLOOKUP('Données projet'!$B$11,Paramètres!$A$1:$I$89,3,0)*0.475*44/12</f>
        <v>4.5709871629993469E-14</v>
      </c>
      <c r="BS129" s="24">
        <f t="shared" si="63"/>
        <v>0.764962921085096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-1.9065282685915009E-13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302.20483575440988</v>
      </c>
      <c r="T130" s="62">
        <f t="shared" si="88"/>
        <v>275.32862097158687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1.5125598466657209</v>
      </c>
      <c r="AB130" s="23">
        <f>EXP(-LN(2)/2)*AB129+(1-EXP(-LN(2)/2))/(LN(2)/2)*V130*Y130*VLOOKUP('Données projet'!$B$9,Paramètres!$A$1:$I$89,3,0)*0.475*44/12</f>
        <v>2.7653174400627811E-14</v>
      </c>
      <c r="AC130" s="24">
        <f t="shared" si="57"/>
        <v>1.5125598466657486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175.05987582828078</v>
      </c>
      <c r="AO130" s="62">
        <f t="shared" si="90"/>
        <v>268.54782308462387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0.61676841778223512</v>
      </c>
      <c r="AW130" s="23">
        <f>EXP(-LN(2)/2)*AW129+(1-EXP(-LN(2)/2))/(LN(2)/2)*AQ130*AT130*VLOOKUP('Données projet'!$B$10,Paramètres!$A$1:$I$89,3,0)*0.475*44/12</f>
        <v>3.1776064760792174E-14</v>
      </c>
      <c r="AX130" s="23">
        <f t="shared" si="60"/>
        <v>0.61676841778226688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287.29865338866551</v>
      </c>
      <c r="BJ130" s="62">
        <f t="shared" si="92"/>
        <v>217.57508587672368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0.74404496978032786</v>
      </c>
      <c r="BR130" s="23">
        <f>EXP(-LN(2)/2)*BR129+(1-EXP(-LN(2)/2))/(LN(2)/2)*BL130*BO130*VLOOKUP('Données projet'!$B$11,Paramètres!$A$1:$I$89,3,0)*0.475*44/12</f>
        <v>3.2321760196734968E-14</v>
      </c>
      <c r="BS130" s="24">
        <f t="shared" si="63"/>
        <v>0.74404496978036017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-1.9065282685915009E-13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302.20483575440988</v>
      </c>
      <c r="T131" s="62">
        <f t="shared" si="88"/>
        <v>275.32862097158687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1.4711988181165814</v>
      </c>
      <c r="AB131" s="23">
        <f>EXP(-LN(2)/2)*AB130+(1-EXP(-LN(2)/2))/(LN(2)/2)*V131*Y131*VLOOKUP('Données projet'!$B$9,Paramètres!$A$1:$I$89,3,0)*0.475*44/12</f>
        <v>1.9553747140018169E-14</v>
      </c>
      <c r="AC131" s="24">
        <f t="shared" si="57"/>
        <v>1.4711988181166009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175.05987582828078</v>
      </c>
      <c r="AO131" s="62">
        <f t="shared" si="90"/>
        <v>268.54782308462387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0.5999028529635384</v>
      </c>
      <c r="AW131" s="23">
        <f>EXP(-LN(2)/2)*AW130+(1-EXP(-LN(2)/2))/(LN(2)/2)*AQ131*AT131*VLOOKUP('Données projet'!$B$10,Paramètres!$A$1:$I$89,3,0)*0.475*44/12</f>
        <v>2.2469070871779035E-14</v>
      </c>
      <c r="AX131" s="23">
        <f t="shared" si="60"/>
        <v>0.59990285296356083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287.29865338866551</v>
      </c>
      <c r="BJ131" s="62">
        <f t="shared" si="92"/>
        <v>217.57508587672368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0.72369902095406036</v>
      </c>
      <c r="BR131" s="23">
        <f>EXP(-LN(2)/2)*BR130+(1-EXP(-LN(2)/2))/(LN(2)/2)*BL131*BO131*VLOOKUP('Données projet'!$B$11,Paramètres!$A$1:$I$89,3,0)*0.475*44/12</f>
        <v>2.2854935814996735E-14</v>
      </c>
      <c r="BS131" s="24">
        <f t="shared" si="63"/>
        <v>0.72369902095408323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-1.9065282685915009E-13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302.20483575440988</v>
      </c>
      <c r="T132" s="62">
        <f t="shared" si="88"/>
        <v>275.32862097158687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1.4309688090682</v>
      </c>
      <c r="AB132" s="23">
        <f>EXP(-LN(2)/2)*AB131+(1-EXP(-LN(2)/2))/(LN(2)/2)*V132*Y132*VLOOKUP('Données projet'!$B$9,Paramètres!$A$1:$I$89,3,0)*0.475*44/12</f>
        <v>1.3826587200313908E-14</v>
      </c>
      <c r="AC132" s="24">
        <f t="shared" ref="AC132:AC153" si="111">SUM(Z132:AB132)</f>
        <v>1.4309688090682138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175.05987582828078</v>
      </c>
      <c r="AO132" s="62">
        <f t="shared" si="90"/>
        <v>268.54782308462387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0.58349847790173048</v>
      </c>
      <c r="AW132" s="23">
        <f>EXP(-LN(2)/2)*AW131+(1-EXP(-LN(2)/2))/(LN(2)/2)*AQ132*AT132*VLOOKUP('Données projet'!$B$10,Paramètres!$A$1:$I$89,3,0)*0.475*44/12</f>
        <v>1.5888032380396087E-14</v>
      </c>
      <c r="AX132" s="23">
        <f t="shared" ref="AX132:AX153" si="114">SUM(AU132:AW132)</f>
        <v>0.58349847790174636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287.29865338866551</v>
      </c>
      <c r="BJ132" s="62">
        <f t="shared" si="92"/>
        <v>217.57508587672368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0.70390943316839405</v>
      </c>
      <c r="BR132" s="23">
        <f>EXP(-LN(2)/2)*BR131+(1-EXP(-LN(2)/2))/(LN(2)/2)*BL132*BO132*VLOOKUP('Données projet'!$B$11,Paramètres!$A$1:$I$89,3,0)*0.475*44/12</f>
        <v>1.6160880098367484E-14</v>
      </c>
      <c r="BS132" s="24">
        <f t="shared" ref="BS132:BS153" si="117">SUM(BP132:BR132)</f>
        <v>0.70390943316841026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-1.9065282685915009E-13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302.20483575440988</v>
      </c>
      <c r="T133" s="62">
        <f t="shared" ref="T133:T196" si="142">$T$3</f>
        <v>275.32862097158687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1.391838891732851</v>
      </c>
      <c r="AB133" s="23">
        <f>EXP(-LN(2)/2)*AB132+(1-EXP(-LN(2)/2))/(LN(2)/2)*V133*Y133*VLOOKUP('Données projet'!$B$9,Paramètres!$A$1:$I$89,3,0)*0.475*44/12</f>
        <v>9.7768735700090861E-15</v>
      </c>
      <c r="AC133" s="24">
        <f t="shared" si="111"/>
        <v>1.3918388917328608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175.05987582828078</v>
      </c>
      <c r="AO133" s="62">
        <f t="shared" ref="AO133:AO196" si="144">$AO$3</f>
        <v>268.54782308462387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0.56754268133865626</v>
      </c>
      <c r="AW133" s="23">
        <f>EXP(-LN(2)/2)*AW132+(1-EXP(-LN(2)/2))/(LN(2)/2)*AQ133*AT133*VLOOKUP('Données projet'!$B$10,Paramètres!$A$1:$I$89,3,0)*0.475*44/12</f>
        <v>1.1234535435889518E-14</v>
      </c>
      <c r="AX133" s="23">
        <f t="shared" si="114"/>
        <v>0.56754268133866748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287.29865338866551</v>
      </c>
      <c r="BJ133" s="62">
        <f t="shared" ref="BJ133:BJ196" si="146">$BJ$3</f>
        <v>217.57508587672368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0.684660992701416</v>
      </c>
      <c r="BR133" s="23">
        <f>EXP(-LN(2)/2)*BR132+(1-EXP(-LN(2)/2))/(LN(2)/2)*BL133*BO133*VLOOKUP('Données projet'!$B$11,Paramètres!$A$1:$I$89,3,0)*0.475*44/12</f>
        <v>1.1427467907498367E-14</v>
      </c>
      <c r="BS133" s="24">
        <f t="shared" si="117"/>
        <v>0.68466099270142744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-1.9065282685915009E-13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302.20483575440988</v>
      </c>
      <c r="T134" s="62">
        <f t="shared" si="142"/>
        <v>275.32862097158687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1.35377898404479</v>
      </c>
      <c r="AB134" s="23">
        <f>EXP(-LN(2)/2)*AB133+(1-EXP(-LN(2)/2))/(LN(2)/2)*V134*Y134*VLOOKUP('Données projet'!$B$9,Paramètres!$A$1:$I$89,3,0)*0.475*44/12</f>
        <v>6.913293600156955E-15</v>
      </c>
      <c r="AC134" s="24">
        <f t="shared" si="111"/>
        <v>1.3537789840447969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175.05987582828078</v>
      </c>
      <c r="AO134" s="62">
        <f t="shared" si="144"/>
        <v>268.54782308462387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0.55202319687167822</v>
      </c>
      <c r="AW134" s="23">
        <f>EXP(-LN(2)/2)*AW133+(1-EXP(-LN(2)/2))/(LN(2)/2)*AQ134*AT134*VLOOKUP('Données projet'!$B$10,Paramètres!$A$1:$I$89,3,0)*0.475*44/12</f>
        <v>7.9440161901980435E-15</v>
      </c>
      <c r="AX134" s="23">
        <f t="shared" si="114"/>
        <v>0.55202319687168622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287.29865338866551</v>
      </c>
      <c r="BJ134" s="62">
        <f t="shared" si="146"/>
        <v>217.57508587672368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0.66593890185123894</v>
      </c>
      <c r="BR134" s="23">
        <f>EXP(-LN(2)/2)*BR133+(1-EXP(-LN(2)/2))/(LN(2)/2)*BL134*BO134*VLOOKUP('Données projet'!$B$11,Paramètres!$A$1:$I$89,3,0)*0.475*44/12</f>
        <v>8.080440049183742E-15</v>
      </c>
      <c r="BS134" s="24">
        <f t="shared" si="117"/>
        <v>0.66593890185124704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-1.9065282685915009E-13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302.20483575440988</v>
      </c>
      <c r="T135" s="62">
        <f t="shared" si="142"/>
        <v>275.32862097158687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1.3167598265339426</v>
      </c>
      <c r="AB135" s="23">
        <f>EXP(-LN(2)/2)*AB134+(1-EXP(-LN(2)/2))/(LN(2)/2)*V135*Y135*VLOOKUP('Données projet'!$B$9,Paramètres!$A$1:$I$89,3,0)*0.475*44/12</f>
        <v>4.8884367850045438E-15</v>
      </c>
      <c r="AC135" s="24">
        <f t="shared" si="111"/>
        <v>1.3167598265339475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175.05987582828078</v>
      </c>
      <c r="AO135" s="62">
        <f t="shared" si="144"/>
        <v>268.54782308462387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0.53692809352358395</v>
      </c>
      <c r="AW135" s="23">
        <f>EXP(-LN(2)/2)*AW134+(1-EXP(-LN(2)/2))/(LN(2)/2)*AQ135*AT135*VLOOKUP('Données projet'!$B$10,Paramètres!$A$1:$I$89,3,0)*0.475*44/12</f>
        <v>5.6172677179447589E-15</v>
      </c>
      <c r="AX135" s="23">
        <f t="shared" si="114"/>
        <v>0.53692809352358961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287.29865338866551</v>
      </c>
      <c r="BJ135" s="62">
        <f t="shared" si="146"/>
        <v>217.57508587672368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0.64772876755991193</v>
      </c>
      <c r="BR135" s="23">
        <f>EXP(-LN(2)/2)*BR134+(1-EXP(-LN(2)/2))/(LN(2)/2)*BL135*BO135*VLOOKUP('Données projet'!$B$11,Paramètres!$A$1:$I$89,3,0)*0.475*44/12</f>
        <v>5.7137339537491837E-15</v>
      </c>
      <c r="BS135" s="24">
        <f t="shared" si="117"/>
        <v>0.6477287675599176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-1.9065282685915009E-13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302.20483575440988</v>
      </c>
      <c r="T136" s="62">
        <f t="shared" si="142"/>
        <v>275.32862097158687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1.2807529598319822</v>
      </c>
      <c r="AB136" s="23">
        <f>EXP(-LN(2)/2)*AB135+(1-EXP(-LN(2)/2))/(LN(2)/2)*V136*Y136*VLOOKUP('Données projet'!$B$9,Paramètres!$A$1:$I$89,3,0)*0.475*44/12</f>
        <v>3.4566468000784779E-15</v>
      </c>
      <c r="AC136" s="24">
        <f t="shared" si="111"/>
        <v>1.2807529598319858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175.05987582828078</v>
      </c>
      <c r="AO136" s="62">
        <f t="shared" si="144"/>
        <v>268.54782308462387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0.52224576657036026</v>
      </c>
      <c r="AW136" s="23">
        <f>EXP(-LN(2)/2)*AW135+(1-EXP(-LN(2)/2))/(LN(2)/2)*AQ136*AT136*VLOOKUP('Données projet'!$B$10,Paramètres!$A$1:$I$89,3,0)*0.475*44/12</f>
        <v>3.9720080950990217E-15</v>
      </c>
      <c r="AX136" s="23">
        <f t="shared" si="114"/>
        <v>0.52224576657036426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287.29865338866551</v>
      </c>
      <c r="BJ136" s="62">
        <f t="shared" si="146"/>
        <v>217.57508587672368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0.63001659034841062</v>
      </c>
      <c r="BR136" s="23">
        <f>EXP(-LN(2)/2)*BR135+(1-EXP(-LN(2)/2))/(LN(2)/2)*BL136*BO136*VLOOKUP('Données projet'!$B$11,Paramètres!$A$1:$I$89,3,0)*0.475*44/12</f>
        <v>4.040220024591871E-15</v>
      </c>
      <c r="BS136" s="24">
        <f t="shared" si="117"/>
        <v>0.63001659034841462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-1.9065282685915009E-13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302.20483575440988</v>
      </c>
      <c r="T137" s="62">
        <f t="shared" si="142"/>
        <v>275.32862097158687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1.2457307027935056</v>
      </c>
      <c r="AB137" s="23">
        <f>EXP(-LN(2)/2)*AB136+(1-EXP(-LN(2)/2))/(LN(2)/2)*V137*Y137*VLOOKUP('Données projet'!$B$9,Paramètres!$A$1:$I$89,3,0)*0.475*44/12</f>
        <v>2.4442183925022723E-15</v>
      </c>
      <c r="AC137" s="24">
        <f t="shared" si="111"/>
        <v>1.2457307027935081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175.05987582828078</v>
      </c>
      <c r="AO137" s="62">
        <f t="shared" si="144"/>
        <v>268.54782308462387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0.50796492861978249</v>
      </c>
      <c r="AW137" s="23">
        <f>EXP(-LN(2)/2)*AW136+(1-EXP(-LN(2)/2))/(LN(2)/2)*AQ137*AT137*VLOOKUP('Données projet'!$B$10,Paramètres!$A$1:$I$89,3,0)*0.475*44/12</f>
        <v>2.8086338589723794E-15</v>
      </c>
      <c r="AX137" s="23">
        <f t="shared" si="114"/>
        <v>0.50796492861978526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287.29865338866551</v>
      </c>
      <c r="BJ137" s="62">
        <f t="shared" si="146"/>
        <v>217.57508587672368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0.61278875355420082</v>
      </c>
      <c r="BR137" s="23">
        <f>EXP(-LN(2)/2)*BR136+(1-EXP(-LN(2)/2))/(LN(2)/2)*BL137*BO137*VLOOKUP('Données projet'!$B$11,Paramètres!$A$1:$I$89,3,0)*0.475*44/12</f>
        <v>2.8568669768745918E-15</v>
      </c>
      <c r="BS137" s="24">
        <f t="shared" si="117"/>
        <v>0.6127887535542037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-1.9065282685915009E-13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302.20483575440988</v>
      </c>
      <c r="T138" s="62">
        <f t="shared" si="142"/>
        <v>275.32862097158687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1.2116661312154866</v>
      </c>
      <c r="AB138" s="23">
        <f>EXP(-LN(2)/2)*AB137+(1-EXP(-LN(2)/2))/(LN(2)/2)*V138*Y138*VLOOKUP('Données projet'!$B$9,Paramètres!$A$1:$I$89,3,0)*0.475*44/12</f>
        <v>1.7283234000392393E-15</v>
      </c>
      <c r="AC138" s="24">
        <f t="shared" si="111"/>
        <v>1.2116661312154884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175.05987582828078</v>
      </c>
      <c r="AO138" s="62">
        <f t="shared" si="144"/>
        <v>268.54782308462387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0.49407460093395988</v>
      </c>
      <c r="AW138" s="23">
        <f>EXP(-LN(2)/2)*AW137+(1-EXP(-LN(2)/2))/(LN(2)/2)*AQ138*AT138*VLOOKUP('Données projet'!$B$10,Paramètres!$A$1:$I$89,3,0)*0.475*44/12</f>
        <v>1.9860040475495109E-15</v>
      </c>
      <c r="AX138" s="23">
        <f t="shared" si="114"/>
        <v>0.49407460093396188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287.29865338866551</v>
      </c>
      <c r="BJ138" s="62">
        <f t="shared" si="146"/>
        <v>217.57508587672368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0.59603201286310115</v>
      </c>
      <c r="BR138" s="23">
        <f>EXP(-LN(2)/2)*BR137+(1-EXP(-LN(2)/2))/(LN(2)/2)*BL138*BO138*VLOOKUP('Données projet'!$B$11,Paramètres!$A$1:$I$89,3,0)*0.475*44/12</f>
        <v>2.0201100122959355E-15</v>
      </c>
      <c r="BS138" s="24">
        <f t="shared" si="117"/>
        <v>0.59603201286310314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-1.9065282685915009E-13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302.20483575440988</v>
      </c>
      <c r="T139" s="62">
        <f t="shared" si="142"/>
        <v>275.32862097158687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1.1785330571386465</v>
      </c>
      <c r="AB139" s="23">
        <f>EXP(-LN(2)/2)*AB138+(1-EXP(-LN(2)/2))/(LN(2)/2)*V139*Y139*VLOOKUP('Données projet'!$B$9,Paramètres!$A$1:$I$89,3,0)*0.475*44/12</f>
        <v>1.2221091962511364E-15</v>
      </c>
      <c r="AC139" s="24">
        <f t="shared" si="111"/>
        <v>1.1785330571386479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175.05987582828078</v>
      </c>
      <c r="AO139" s="62">
        <f t="shared" si="144"/>
        <v>268.54782308462387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0.48056410498916668</v>
      </c>
      <c r="AW139" s="23">
        <f>EXP(-LN(2)/2)*AW138+(1-EXP(-LN(2)/2))/(LN(2)/2)*AQ139*AT139*VLOOKUP('Données projet'!$B$10,Paramètres!$A$1:$I$89,3,0)*0.475*44/12</f>
        <v>1.4043169294861897E-15</v>
      </c>
      <c r="AX139" s="23">
        <f t="shared" si="114"/>
        <v>0.48056410498916807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287.29865338866551</v>
      </c>
      <c r="BJ139" s="62">
        <f t="shared" si="146"/>
        <v>217.57508587672368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0.57973348612739839</v>
      </c>
      <c r="BR139" s="23">
        <f>EXP(-LN(2)/2)*BR138+(1-EXP(-LN(2)/2))/(LN(2)/2)*BL139*BO139*VLOOKUP('Données projet'!$B$11,Paramètres!$A$1:$I$89,3,0)*0.475*44/12</f>
        <v>1.4284334884372959E-15</v>
      </c>
      <c r="BS139" s="24">
        <f t="shared" si="117"/>
        <v>0.57973348612739983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-1.9065282685915009E-13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302.20483575440988</v>
      </c>
      <c r="T140" s="62">
        <f t="shared" si="142"/>
        <v>275.32862097158687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1.1463060087148302</v>
      </c>
      <c r="AB140" s="23">
        <f>EXP(-LN(2)/2)*AB139+(1-EXP(-LN(2)/2))/(LN(2)/2)*V140*Y140*VLOOKUP('Données projet'!$B$9,Paramètres!$A$1:$I$89,3,0)*0.475*44/12</f>
        <v>8.6416170001961977E-16</v>
      </c>
      <c r="AC140" s="24">
        <f t="shared" si="111"/>
        <v>1.1463060087148311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175.05987582828078</v>
      </c>
      <c r="AO140" s="62">
        <f t="shared" si="144"/>
        <v>268.54782308462387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0.46742305426646996</v>
      </c>
      <c r="AW140" s="23">
        <f>EXP(-LN(2)/2)*AW139+(1-EXP(-LN(2)/2))/(LN(2)/2)*AQ140*AT140*VLOOKUP('Données projet'!$B$10,Paramètres!$A$1:$I$89,3,0)*0.475*44/12</f>
        <v>9.9300202377475544E-16</v>
      </c>
      <c r="AX140" s="23">
        <f t="shared" si="114"/>
        <v>0.46742305426647096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287.29865338866551</v>
      </c>
      <c r="BJ140" s="62">
        <f t="shared" si="146"/>
        <v>217.57508587672368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0.56388064346238564</v>
      </c>
      <c r="BR140" s="23">
        <f>EXP(-LN(2)/2)*BR139+(1-EXP(-LN(2)/2))/(LN(2)/2)*BL140*BO140*VLOOKUP('Données projet'!$B$11,Paramètres!$A$1:$I$89,3,0)*0.475*44/12</f>
        <v>1.0100550061479677E-15</v>
      </c>
      <c r="BS140" s="24">
        <f t="shared" si="117"/>
        <v>0.56388064346238664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-1.9065282685915009E-13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302.20483575440988</v>
      </c>
      <c r="T141" s="62">
        <f t="shared" si="142"/>
        <v>275.32862097158687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1.1149602106249101</v>
      </c>
      <c r="AB141" s="23">
        <f>EXP(-LN(2)/2)*AB140+(1-EXP(-LN(2)/2))/(LN(2)/2)*V141*Y141*VLOOKUP('Données projet'!$B$9,Paramètres!$A$1:$I$89,3,0)*0.475*44/12</f>
        <v>6.1105459812556828E-16</v>
      </c>
      <c r="AC141" s="24">
        <f t="shared" si="111"/>
        <v>1.1149602106249108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175.05987582828078</v>
      </c>
      <c r="AO141" s="62">
        <f t="shared" si="144"/>
        <v>268.54782308462387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0.45464134626684322</v>
      </c>
      <c r="AW141" s="23">
        <f>EXP(-LN(2)/2)*AW140+(1-EXP(-LN(2)/2))/(LN(2)/2)*AQ141*AT141*VLOOKUP('Données projet'!$B$10,Paramètres!$A$1:$I$89,3,0)*0.475*44/12</f>
        <v>7.0215846474309486E-16</v>
      </c>
      <c r="AX141" s="23">
        <f t="shared" si="114"/>
        <v>0.45464134626684394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287.29865338866551</v>
      </c>
      <c r="BJ141" s="62">
        <f t="shared" si="146"/>
        <v>217.57508587672368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0.54846129761371243</v>
      </c>
      <c r="BR141" s="23">
        <f>EXP(-LN(2)/2)*BR140+(1-EXP(-LN(2)/2))/(LN(2)/2)*BL141*BO141*VLOOKUP('Données projet'!$B$11,Paramètres!$A$1:$I$89,3,0)*0.475*44/12</f>
        <v>7.1421674421864796E-16</v>
      </c>
      <c r="BS141" s="24">
        <f t="shared" si="117"/>
        <v>0.54846129761371309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-1.9065282685915009E-13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302.20483575440988</v>
      </c>
      <c r="T142" s="62">
        <f t="shared" si="142"/>
        <v>275.32862097158687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1.0844715650321628</v>
      </c>
      <c r="AB142" s="23">
        <f>EXP(-LN(2)/2)*AB141+(1-EXP(-LN(2)/2))/(LN(2)/2)*V142*Y142*VLOOKUP('Données projet'!$B$9,Paramètres!$A$1:$I$89,3,0)*0.475*44/12</f>
        <v>4.3208085000980999E-16</v>
      </c>
      <c r="AC142" s="24">
        <f t="shared" si="111"/>
        <v>1.0844715650321632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175.05987582828078</v>
      </c>
      <c r="AO142" s="62">
        <f t="shared" si="144"/>
        <v>268.54782308462387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0.44220915474462708</v>
      </c>
      <c r="AW142" s="23">
        <f>EXP(-LN(2)/2)*AW141+(1-EXP(-LN(2)/2))/(LN(2)/2)*AQ142*AT142*VLOOKUP('Données projet'!$B$10,Paramètres!$A$1:$I$89,3,0)*0.475*44/12</f>
        <v>4.9650101188737772E-16</v>
      </c>
      <c r="AX142" s="23">
        <f t="shared" si="114"/>
        <v>0.44220915474462757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287.29865338866551</v>
      </c>
      <c r="BJ142" s="62">
        <f t="shared" si="146"/>
        <v>217.57508587672368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0.5334635945881393</v>
      </c>
      <c r="BR142" s="23">
        <f>EXP(-LN(2)/2)*BR141+(1-EXP(-LN(2)/2))/(LN(2)/2)*BL142*BO142*VLOOKUP('Données projet'!$B$11,Paramètres!$A$1:$I$89,3,0)*0.475*44/12</f>
        <v>5.0502750307398387E-16</v>
      </c>
      <c r="BS142" s="24">
        <f t="shared" si="117"/>
        <v>0.53346359458813986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-1.9065282685915009E-13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302.20483575440988</v>
      </c>
      <c r="T143" s="62">
        <f t="shared" si="142"/>
        <v>275.32862097158687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1.0548166330564772</v>
      </c>
      <c r="AB143" s="23">
        <f>EXP(-LN(2)/2)*AB142+(1-EXP(-LN(2)/2))/(LN(2)/2)*V143*Y143*VLOOKUP('Données projet'!$B$9,Paramètres!$A$1:$I$89,3,0)*0.475*44/12</f>
        <v>3.0552729906278419E-16</v>
      </c>
      <c r="AC143" s="24">
        <f t="shared" si="111"/>
        <v>1.0548166330564774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175.05987582828078</v>
      </c>
      <c r="AO143" s="62">
        <f t="shared" si="144"/>
        <v>268.54782308462387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0.4301169221533665</v>
      </c>
      <c r="AW143" s="23">
        <f>EXP(-LN(2)/2)*AW142+(1-EXP(-LN(2)/2))/(LN(2)/2)*AQ143*AT143*VLOOKUP('Données projet'!$B$10,Paramètres!$A$1:$I$89,3,0)*0.475*44/12</f>
        <v>3.5107923237154743E-16</v>
      </c>
      <c r="AX143" s="23">
        <f t="shared" si="114"/>
        <v>0.43011692215336683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287.29865338866551</v>
      </c>
      <c r="BJ143" s="62">
        <f t="shared" si="146"/>
        <v>217.57508587672368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0.51887600454049543</v>
      </c>
      <c r="BR143" s="23">
        <f>EXP(-LN(2)/2)*BR142+(1-EXP(-LN(2)/2))/(LN(2)/2)*BL143*BO143*VLOOKUP('Données projet'!$B$11,Paramètres!$A$1:$I$89,3,0)*0.475*44/12</f>
        <v>3.5710837210932398E-16</v>
      </c>
      <c r="BS143" s="24">
        <f t="shared" si="117"/>
        <v>0.51887600454049576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-1.9065282685915009E-13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302.20483575440988</v>
      </c>
      <c r="T144" s="62">
        <f t="shared" si="142"/>
        <v>275.32862097158687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1.0259726167551519</v>
      </c>
      <c r="AB144" s="23">
        <f>EXP(-LN(2)/2)*AB143+(1-EXP(-LN(2)/2))/(LN(2)/2)*V144*Y144*VLOOKUP('Données projet'!$B$9,Paramètres!$A$1:$I$89,3,0)*0.475*44/12</f>
        <v>2.1604042500490502E-16</v>
      </c>
      <c r="AC144" s="24">
        <f t="shared" si="111"/>
        <v>1.0259726167551522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175.05987582828078</v>
      </c>
      <c r="AO144" s="62">
        <f t="shared" si="144"/>
        <v>268.54782308462387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0.4183553522982168</v>
      </c>
      <c r="AW144" s="23">
        <f>EXP(-LN(2)/2)*AW143+(1-EXP(-LN(2)/2))/(LN(2)/2)*AQ144*AT144*VLOOKUP('Données projet'!$B$10,Paramètres!$A$1:$I$89,3,0)*0.475*44/12</f>
        <v>2.4825050594368886E-16</v>
      </c>
      <c r="AX144" s="23">
        <f t="shared" si="114"/>
        <v>0.41835535229821702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287.29865338866551</v>
      </c>
      <c r="BJ144" s="62">
        <f t="shared" si="146"/>
        <v>217.57508587672368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0.50468731290983238</v>
      </c>
      <c r="BR144" s="23">
        <f>EXP(-LN(2)/2)*BR143+(1-EXP(-LN(2)/2))/(LN(2)/2)*BL144*BO144*VLOOKUP('Données projet'!$B$11,Paramètres!$A$1:$I$89,3,0)*0.475*44/12</f>
        <v>2.5251375153699194E-16</v>
      </c>
      <c r="BS144" s="24">
        <f t="shared" si="117"/>
        <v>0.5046873129098326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-1.9065282685915009E-13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302.20483575440988</v>
      </c>
      <c r="T145" s="62">
        <f t="shared" si="142"/>
        <v>275.32862097158687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0.99791734159642731</v>
      </c>
      <c r="AB145" s="23">
        <f>EXP(-LN(2)/2)*AB144+(1-EXP(-LN(2)/2))/(LN(2)/2)*V145*Y145*VLOOKUP('Données projet'!$B$9,Paramètres!$A$1:$I$89,3,0)*0.475*44/12</f>
        <v>1.5276364953139212E-16</v>
      </c>
      <c r="AC145" s="24">
        <f t="shared" si="111"/>
        <v>0.99791734159642742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175.05987582828078</v>
      </c>
      <c r="AO145" s="62">
        <f t="shared" si="144"/>
        <v>268.54782308462387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0.40691540318927022</v>
      </c>
      <c r="AW145" s="23">
        <f>EXP(-LN(2)/2)*AW144+(1-EXP(-LN(2)/2))/(LN(2)/2)*AQ145*AT145*VLOOKUP('Données projet'!$B$10,Paramètres!$A$1:$I$89,3,0)*0.475*44/12</f>
        <v>1.7553961618577371E-16</v>
      </c>
      <c r="AX145" s="23">
        <f t="shared" si="114"/>
        <v>0.40691540318927039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287.29865338866551</v>
      </c>
      <c r="BJ145" s="62">
        <f t="shared" si="146"/>
        <v>217.57508587672368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0.49088661179796073</v>
      </c>
      <c r="BR145" s="23">
        <f>EXP(-LN(2)/2)*BR144+(1-EXP(-LN(2)/2))/(LN(2)/2)*BL145*BO145*VLOOKUP('Données projet'!$B$11,Paramètres!$A$1:$I$89,3,0)*0.475*44/12</f>
        <v>1.7855418605466199E-16</v>
      </c>
      <c r="BS145" s="24">
        <f t="shared" si="117"/>
        <v>0.49088661179796089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-1.9065282685915009E-13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302.20483575440988</v>
      </c>
      <c r="T146" s="62">
        <f t="shared" si="142"/>
        <v>275.32862097158687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0.97062923941228074</v>
      </c>
      <c r="AB146" s="23">
        <f>EXP(-LN(2)/2)*AB145+(1-EXP(-LN(2)/2))/(LN(2)/2)*V146*Y146*VLOOKUP('Données projet'!$B$9,Paramètres!$A$1:$I$89,3,0)*0.475*44/12</f>
        <v>1.0802021250245253E-16</v>
      </c>
      <c r="AC146" s="24">
        <f t="shared" si="111"/>
        <v>0.97062923941228085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175.05987582828078</v>
      </c>
      <c r="AO146" s="62">
        <f t="shared" si="144"/>
        <v>268.54782308462387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0.39578828009030859</v>
      </c>
      <c r="AW146" s="23">
        <f>EXP(-LN(2)/2)*AW145+(1-EXP(-LN(2)/2))/(LN(2)/2)*AQ146*AT146*VLOOKUP('Données projet'!$B$10,Paramètres!$A$1:$I$89,3,0)*0.475*44/12</f>
        <v>1.2412525297184443E-16</v>
      </c>
      <c r="AX146" s="23">
        <f t="shared" si="114"/>
        <v>0.3957882800903087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287.29865338866551</v>
      </c>
      <c r="BJ146" s="62">
        <f t="shared" si="146"/>
        <v>217.57508587672368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0.47746329158374051</v>
      </c>
      <c r="BR146" s="23">
        <f>EXP(-LN(2)/2)*BR145+(1-EXP(-LN(2)/2))/(LN(2)/2)*BL146*BO146*VLOOKUP('Données projet'!$B$11,Paramètres!$A$1:$I$89,3,0)*0.475*44/12</f>
        <v>1.2625687576849597E-16</v>
      </c>
      <c r="BS146" s="24">
        <f t="shared" si="117"/>
        <v>0.47746329158374062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-1.9065282685915009E-13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302.20483575440988</v>
      </c>
      <c r="T147" s="62">
        <f t="shared" si="142"/>
        <v>275.32862097158687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0.94408733181737858</v>
      </c>
      <c r="AB147" s="23">
        <f>EXP(-LN(2)/2)*AB146+(1-EXP(-LN(2)/2))/(LN(2)/2)*V147*Y147*VLOOKUP('Données projet'!$B$9,Paramètres!$A$1:$I$89,3,0)*0.475*44/12</f>
        <v>7.6381824765696071E-17</v>
      </c>
      <c r="AC147" s="24">
        <f t="shared" si="111"/>
        <v>0.94408733181737869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175.05987582828078</v>
      </c>
      <c r="AO147" s="62">
        <f t="shared" si="144"/>
        <v>268.54782308462387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0.38496542875763806</v>
      </c>
      <c r="AW147" s="23">
        <f>EXP(-LN(2)/2)*AW146+(1-EXP(-LN(2)/2))/(LN(2)/2)*AQ147*AT147*VLOOKUP('Données projet'!$B$10,Paramètres!$A$1:$I$89,3,0)*0.475*44/12</f>
        <v>8.7769808092886857E-17</v>
      </c>
      <c r="AX147" s="23">
        <f t="shared" si="114"/>
        <v>0.38496542875763817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287.29865338866551</v>
      </c>
      <c r="BJ147" s="62">
        <f t="shared" si="146"/>
        <v>217.57508587672368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0.46440703276667988</v>
      </c>
      <c r="BR147" s="23">
        <f>EXP(-LN(2)/2)*BR146+(1-EXP(-LN(2)/2))/(LN(2)/2)*BL147*BO147*VLOOKUP('Données projet'!$B$11,Paramètres!$A$1:$I$89,3,0)*0.475*44/12</f>
        <v>8.9277093027330995E-17</v>
      </c>
      <c r="BS147" s="24">
        <f t="shared" si="117"/>
        <v>0.46440703276667999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-1.9065282685915009E-13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302.20483575440988</v>
      </c>
      <c r="T148" s="62">
        <f t="shared" si="142"/>
        <v>275.32862097158687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0.9182712140814373</v>
      </c>
      <c r="AB148" s="23">
        <f>EXP(-LN(2)/2)*AB147+(1-EXP(-LN(2)/2))/(LN(2)/2)*V148*Y148*VLOOKUP('Données projet'!$B$9,Paramètres!$A$1:$I$89,3,0)*0.475*44/12</f>
        <v>5.4010106251226273E-17</v>
      </c>
      <c r="AC148" s="24">
        <f t="shared" si="111"/>
        <v>0.9182712140814373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175.05987582828078</v>
      </c>
      <c r="AO148" s="62">
        <f t="shared" si="144"/>
        <v>268.54782308462387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0.37443852886380841</v>
      </c>
      <c r="AW148" s="23">
        <f>EXP(-LN(2)/2)*AW147+(1-EXP(-LN(2)/2))/(LN(2)/2)*AQ148*AT148*VLOOKUP('Données projet'!$B$10,Paramètres!$A$1:$I$89,3,0)*0.475*44/12</f>
        <v>6.2062626485922215E-17</v>
      </c>
      <c r="AX148" s="23">
        <f t="shared" si="114"/>
        <v>0.37443852886380846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287.29865338866551</v>
      </c>
      <c r="BJ148" s="62">
        <f t="shared" si="146"/>
        <v>217.57508587672368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0.45170779803357058</v>
      </c>
      <c r="BR148" s="23">
        <f>EXP(-LN(2)/2)*BR147+(1-EXP(-LN(2)/2))/(LN(2)/2)*BL148*BO148*VLOOKUP('Données projet'!$B$11,Paramètres!$A$1:$I$89,3,0)*0.475*44/12</f>
        <v>6.3128437884247984E-17</v>
      </c>
      <c r="BS148" s="24">
        <f t="shared" si="117"/>
        <v>0.45170779803357064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-1.9065282685915009E-13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302.20483575440988</v>
      </c>
      <c r="T149" s="62">
        <f t="shared" si="142"/>
        <v>275.32862097158687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0.89316103944259595</v>
      </c>
      <c r="AB149" s="23">
        <f>EXP(-LN(2)/2)*AB148+(1-EXP(-LN(2)/2))/(LN(2)/2)*V149*Y149*VLOOKUP('Données projet'!$B$9,Paramètres!$A$1:$I$89,3,0)*0.475*44/12</f>
        <v>3.8190912382848042E-17</v>
      </c>
      <c r="AC149" s="24">
        <f t="shared" si="111"/>
        <v>0.89316103944259595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175.05987582828078</v>
      </c>
      <c r="AO149" s="62">
        <f t="shared" si="144"/>
        <v>268.54782308462387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0.36419948760116111</v>
      </c>
      <c r="AW149" s="23">
        <f>EXP(-LN(2)/2)*AW148+(1-EXP(-LN(2)/2))/(LN(2)/2)*AQ149*AT149*VLOOKUP('Données projet'!$B$10,Paramètres!$A$1:$I$89,3,0)*0.475*44/12</f>
        <v>4.3884904046443429E-17</v>
      </c>
      <c r="AX149" s="23">
        <f t="shared" si="114"/>
        <v>0.36419948760116116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287.29865338866551</v>
      </c>
      <c r="BJ149" s="62">
        <f t="shared" si="146"/>
        <v>217.57508587672368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0.4393558245420619</v>
      </c>
      <c r="BR149" s="23">
        <f>EXP(-LN(2)/2)*BR148+(1-EXP(-LN(2)/2))/(LN(2)/2)*BL149*BO149*VLOOKUP('Données projet'!$B$11,Paramètres!$A$1:$I$89,3,0)*0.475*44/12</f>
        <v>4.4638546513665497E-17</v>
      </c>
      <c r="BS149" s="24">
        <f t="shared" si="117"/>
        <v>0.43935582454206196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-1.9065282685915009E-13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302.20483575440988</v>
      </c>
      <c r="T150" s="62">
        <f t="shared" si="142"/>
        <v>275.32862097158687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0.86873750384974047</v>
      </c>
      <c r="AB150" s="23">
        <f>EXP(-LN(2)/2)*AB149+(1-EXP(-LN(2)/2))/(LN(2)/2)*V150*Y150*VLOOKUP('Données projet'!$B$9,Paramètres!$A$1:$I$89,3,0)*0.475*44/12</f>
        <v>2.7005053125613139E-17</v>
      </c>
      <c r="AC150" s="24">
        <f t="shared" si="111"/>
        <v>0.86873750384974047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175.05987582828078</v>
      </c>
      <c r="AO150" s="62">
        <f t="shared" si="144"/>
        <v>268.54782308462387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0.35424043346028872</v>
      </c>
      <c r="AW150" s="23">
        <f>EXP(-LN(2)/2)*AW149+(1-EXP(-LN(2)/2))/(LN(2)/2)*AQ150*AT150*VLOOKUP('Données projet'!$B$10,Paramètres!$A$1:$I$89,3,0)*0.475*44/12</f>
        <v>3.1031313242961107E-17</v>
      </c>
      <c r="AX150" s="23">
        <f t="shared" si="114"/>
        <v>0.35424043346028877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287.29865338866551</v>
      </c>
      <c r="BJ150" s="62">
        <f t="shared" si="146"/>
        <v>217.57508587672368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0.42734161641524054</v>
      </c>
      <c r="BR150" s="23">
        <f>EXP(-LN(2)/2)*BR149+(1-EXP(-LN(2)/2))/(LN(2)/2)*BL150*BO150*VLOOKUP('Données projet'!$B$11,Paramètres!$A$1:$I$89,3,0)*0.475*44/12</f>
        <v>3.1564218942123992E-17</v>
      </c>
      <c r="BS150" s="24">
        <f t="shared" si="117"/>
        <v>0.4273416164152406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-1.9065282685915009E-13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302.20483575440988</v>
      </c>
      <c r="T151" s="62">
        <f t="shared" si="142"/>
        <v>275.32862097158687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0.8449818311220495</v>
      </c>
      <c r="AB151" s="23">
        <f>EXP(-LN(2)/2)*AB150+(1-EXP(-LN(2)/2))/(LN(2)/2)*V151*Y151*VLOOKUP('Données projet'!$B$9,Paramètres!$A$1:$I$89,3,0)*0.475*44/12</f>
        <v>1.9095456191424024E-17</v>
      </c>
      <c r="AC151" s="24">
        <f t="shared" si="111"/>
        <v>0.8449818311220495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175.05987582828078</v>
      </c>
      <c r="AO151" s="62">
        <f t="shared" si="144"/>
        <v>268.54782308462387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0.34455371017862235</v>
      </c>
      <c r="AW151" s="23">
        <f>EXP(-LN(2)/2)*AW150+(1-EXP(-LN(2)/2))/(LN(2)/2)*AQ151*AT151*VLOOKUP('Données projet'!$B$10,Paramètres!$A$1:$I$89,3,0)*0.475*44/12</f>
        <v>2.1942452023221714E-17</v>
      </c>
      <c r="AX151" s="23">
        <f t="shared" si="114"/>
        <v>0.34455371017862235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287.29865338866551</v>
      </c>
      <c r="BJ151" s="62">
        <f t="shared" si="146"/>
        <v>217.57508587672368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0.41565593744144691</v>
      </c>
      <c r="BR151" s="23">
        <f>EXP(-LN(2)/2)*BR150+(1-EXP(-LN(2)/2))/(LN(2)/2)*BL151*BO151*VLOOKUP('Données projet'!$B$11,Paramètres!$A$1:$I$89,3,0)*0.475*44/12</f>
        <v>2.2319273256832749E-17</v>
      </c>
      <c r="BS151" s="24">
        <f t="shared" si="117"/>
        <v>0.41565593744144691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-1.9065282685915009E-13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302.20483575440988</v>
      </c>
      <c r="T152" s="62">
        <f t="shared" si="142"/>
        <v>275.32862097158687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0.82187575851435379</v>
      </c>
      <c r="AB152" s="23">
        <f>EXP(-LN(2)/2)*AB151+(1-EXP(-LN(2)/2))/(LN(2)/2)*V152*Y152*VLOOKUP('Données projet'!$B$9,Paramètres!$A$1:$I$89,3,0)*0.475*44/12</f>
        <v>1.3502526562806573E-17</v>
      </c>
      <c r="AC152" s="24">
        <f t="shared" si="111"/>
        <v>0.82187575851435379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175.05987582828078</v>
      </c>
      <c r="AO152" s="62">
        <f t="shared" si="144"/>
        <v>268.54782308462387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0.33513187085449581</v>
      </c>
      <c r="AW152" s="23">
        <f>EXP(-LN(2)/2)*AW151+(1-EXP(-LN(2)/2))/(LN(2)/2)*AQ152*AT152*VLOOKUP('Données projet'!$B$10,Paramètres!$A$1:$I$89,3,0)*0.475*44/12</f>
        <v>1.5515656621480554E-17</v>
      </c>
      <c r="AX152" s="23">
        <f t="shared" si="114"/>
        <v>0.33513187085449581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287.29865338866551</v>
      </c>
      <c r="BJ152" s="62">
        <f t="shared" si="146"/>
        <v>217.57508587672368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0.40428980397371478</v>
      </c>
      <c r="BR152" s="23">
        <f>EXP(-LN(2)/2)*BR151+(1-EXP(-LN(2)/2))/(LN(2)/2)*BL152*BO152*VLOOKUP('Données projet'!$B$11,Paramètres!$A$1:$I$89,3,0)*0.475*44/12</f>
        <v>1.5782109471061996E-17</v>
      </c>
      <c r="BS152" s="24">
        <f t="shared" si="117"/>
        <v>0.40428980397371478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-1.9065282685915009E-13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302.20483575440988</v>
      </c>
      <c r="T153" s="62">
        <f t="shared" si="142"/>
        <v>275.32862097158687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0.7994015226772111</v>
      </c>
      <c r="AB153" s="23">
        <f>EXP(-LN(2)/2)*AB152+(1-EXP(-LN(2)/2))/(LN(2)/2)*V153*Y153*VLOOKUP('Données projet'!$B$9,Paramètres!$A$1:$I$89,3,0)*0.475*44/12</f>
        <v>9.5477280957120135E-18</v>
      </c>
      <c r="AC153" s="24">
        <f t="shared" si="111"/>
        <v>0.7994015226772111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175.05987582828078</v>
      </c>
      <c r="AO153" s="62">
        <f t="shared" si="144"/>
        <v>268.54782308462387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0.3259676722221605</v>
      </c>
      <c r="AW153" s="23">
        <f>EXP(-LN(2)/2)*AW152+(1-EXP(-LN(2)/2))/(LN(2)/2)*AQ153*AT153*VLOOKUP('Données projet'!$B$10,Paramètres!$A$1:$I$89,3,0)*0.475*44/12</f>
        <v>1.0971226011610857E-17</v>
      </c>
      <c r="AX153" s="23">
        <f t="shared" si="114"/>
        <v>0.3259676722221605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287.29865338866551</v>
      </c>
      <c r="BJ153" s="62">
        <f t="shared" si="146"/>
        <v>217.57508587672368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0.3932344780233768</v>
      </c>
      <c r="BR153" s="23">
        <f>EXP(-LN(2)/2)*BR152+(1-EXP(-LN(2)/2))/(LN(2)/2)*BL153*BO153*VLOOKUP('Données projet'!$B$11,Paramètres!$A$1:$I$89,3,0)*0.475*44/12</f>
        <v>1.1159636628416374E-17</v>
      </c>
      <c r="BS153" s="24">
        <f t="shared" si="117"/>
        <v>0.3932344780233768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-1.9065282685915009E-13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302.20483575440988</v>
      </c>
      <c r="T154" s="62">
        <f t="shared" si="142"/>
        <v>275.32862097158687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0.7775418460009037</v>
      </c>
      <c r="AB154" s="23">
        <f>EXP(-LN(2)/2)*AB153+(1-EXP(-LN(2)/2))/(LN(2)/2)*V154*Y154*VLOOKUP('Données projet'!$B$9,Paramètres!$A$1:$I$89,3,0)*0.475*44/12</f>
        <v>6.7512632814032872E-18</v>
      </c>
      <c r="AC154" s="24">
        <f t="shared" ref="AC154:AC203" si="163">SUM(Z154:AB154)</f>
        <v>0.7775418460009037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175.05987582828078</v>
      </c>
      <c r="AO154" s="62">
        <f t="shared" si="144"/>
        <v>268.54782308462387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0.31705406908335065</v>
      </c>
      <c r="AW154" s="23">
        <f>EXP(-LN(2)/2)*AW153+(1-EXP(-LN(2)/2))/(LN(2)/2)*AQ154*AT154*VLOOKUP('Données projet'!$B$10,Paramètres!$A$1:$I$89,3,0)*0.475*44/12</f>
        <v>7.7578283107402768E-18</v>
      </c>
      <c r="AX154" s="23">
        <f t="shared" ref="AX154:AX203" si="166">SUM(AU154:AW154)</f>
        <v>0.31705406908335065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287.29865338866551</v>
      </c>
      <c r="BJ154" s="62">
        <f t="shared" si="146"/>
        <v>217.57508587672368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0.38248146054252513</v>
      </c>
      <c r="BR154" s="23">
        <f>EXP(-LN(2)/2)*BR153+(1-EXP(-LN(2)/2))/(LN(2)/2)*BL154*BO154*VLOOKUP('Données projet'!$B$11,Paramètres!$A$1:$I$89,3,0)*0.475*44/12</f>
        <v>7.891054735530998E-18</v>
      </c>
      <c r="BS154" s="24">
        <f t="shared" ref="BS154:BS203" si="169">SUM(BP154:BR154)</f>
        <v>0.38248146054252513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-1.9065282685915009E-13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302.20483575440988</v>
      </c>
      <c r="T155" s="62">
        <f t="shared" si="142"/>
        <v>275.32862097158687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0.75627992333286043</v>
      </c>
      <c r="AB155" s="23">
        <f>EXP(-LN(2)/2)*AB154+(1-EXP(-LN(2)/2))/(LN(2)/2)*V155*Y155*VLOOKUP('Données projet'!$B$9,Paramètres!$A$1:$I$89,3,0)*0.475*44/12</f>
        <v>4.7738640478560075E-18</v>
      </c>
      <c r="AC155" s="24">
        <f t="shared" si="163"/>
        <v>0.75627992333286043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175.05987582828078</v>
      </c>
      <c r="AO155" s="62">
        <f t="shared" si="144"/>
        <v>268.54782308462387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0.30838420889111756</v>
      </c>
      <c r="AW155" s="23">
        <f>EXP(-LN(2)/2)*AW154+(1-EXP(-LN(2)/2))/(LN(2)/2)*AQ155*AT155*VLOOKUP('Données projet'!$B$10,Paramètres!$A$1:$I$89,3,0)*0.475*44/12</f>
        <v>5.4856130058054286E-18</v>
      </c>
      <c r="AX155" s="23">
        <f t="shared" si="166"/>
        <v>0.30838420889111756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287.29865338866551</v>
      </c>
      <c r="BJ155" s="62">
        <f t="shared" si="146"/>
        <v>217.57508587672368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0.37202248489016393</v>
      </c>
      <c r="BR155" s="23">
        <f>EXP(-LN(2)/2)*BR154+(1-EXP(-LN(2)/2))/(LN(2)/2)*BL155*BO155*VLOOKUP('Données projet'!$B$11,Paramètres!$A$1:$I$89,3,0)*0.475*44/12</f>
        <v>5.5798183142081872E-18</v>
      </c>
      <c r="BS155" s="24">
        <f t="shared" si="169"/>
        <v>0.37202248489016393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-1.9065282685915009E-13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302.20483575440988</v>
      </c>
      <c r="T156" s="62">
        <f t="shared" si="142"/>
        <v>275.32862097158687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0.73559940905829069</v>
      </c>
      <c r="AB156" s="23">
        <f>EXP(-LN(2)/2)*AB155+(1-EXP(-LN(2)/2))/(LN(2)/2)*V156*Y156*VLOOKUP('Données projet'!$B$9,Paramètres!$A$1:$I$89,3,0)*0.475*44/12</f>
        <v>3.3756316407016444E-18</v>
      </c>
      <c r="AC156" s="24">
        <f t="shared" si="163"/>
        <v>0.73559940905829069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175.05987582828078</v>
      </c>
      <c r="AO156" s="62">
        <f t="shared" si="144"/>
        <v>268.54782308462387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0.2999514264817692</v>
      </c>
      <c r="AW156" s="23">
        <f>EXP(-LN(2)/2)*AW155+(1-EXP(-LN(2)/2))/(LN(2)/2)*AQ156*AT156*VLOOKUP('Données projet'!$B$10,Paramètres!$A$1:$I$89,3,0)*0.475*44/12</f>
        <v>3.8789141553701384E-18</v>
      </c>
      <c r="AX156" s="23">
        <f t="shared" si="166"/>
        <v>0.2999514264817692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287.29865338866551</v>
      </c>
      <c r="BJ156" s="62">
        <f t="shared" si="146"/>
        <v>217.57508587672368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0.36184951047703018</v>
      </c>
      <c r="BR156" s="23">
        <f>EXP(-LN(2)/2)*BR155+(1-EXP(-LN(2)/2))/(LN(2)/2)*BL156*BO156*VLOOKUP('Données projet'!$B$11,Paramètres!$A$1:$I$89,3,0)*0.475*44/12</f>
        <v>3.945527367765499E-18</v>
      </c>
      <c r="BS156" s="24">
        <f t="shared" si="169"/>
        <v>0.36184951047703018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-1.9065282685915009E-13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302.20483575440988</v>
      </c>
      <c r="T157" s="62">
        <f t="shared" si="142"/>
        <v>275.32862097158687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0.7154844045341</v>
      </c>
      <c r="AB157" s="23">
        <f>EXP(-LN(2)/2)*AB156+(1-EXP(-LN(2)/2))/(LN(2)/2)*V157*Y157*VLOOKUP('Données projet'!$B$9,Paramètres!$A$1:$I$89,3,0)*0.475*44/12</f>
        <v>2.3869320239280042E-18</v>
      </c>
      <c r="AC157" s="24">
        <f t="shared" si="163"/>
        <v>0.7154844045341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175.05987582828078</v>
      </c>
      <c r="AO157" s="62">
        <f t="shared" si="144"/>
        <v>268.54782308462387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0.29174923895086524</v>
      </c>
      <c r="AW157" s="23">
        <f>EXP(-LN(2)/2)*AW156+(1-EXP(-LN(2)/2))/(LN(2)/2)*AQ157*AT157*VLOOKUP('Données projet'!$B$10,Paramètres!$A$1:$I$89,3,0)*0.475*44/12</f>
        <v>2.7428065029027143E-18</v>
      </c>
      <c r="AX157" s="23">
        <f t="shared" si="166"/>
        <v>0.29174923895086524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287.29865338866551</v>
      </c>
      <c r="BJ157" s="62">
        <f t="shared" si="146"/>
        <v>217.57508587672368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0.35195471658419702</v>
      </c>
      <c r="BR157" s="23">
        <f>EXP(-LN(2)/2)*BR156+(1-EXP(-LN(2)/2))/(LN(2)/2)*BL157*BO157*VLOOKUP('Données projet'!$B$11,Paramètres!$A$1:$I$89,3,0)*0.475*44/12</f>
        <v>2.7899091571040936E-18</v>
      </c>
      <c r="BS157" s="24">
        <f t="shared" si="169"/>
        <v>0.35195471658419702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-1.9065282685915009E-13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302.20483575440988</v>
      </c>
      <c r="T158" s="62">
        <f t="shared" si="142"/>
        <v>275.32862097158687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0.69591944586642551</v>
      </c>
      <c r="AB158" s="23">
        <f>EXP(-LN(2)/2)*AB157+(1-EXP(-LN(2)/2))/(LN(2)/2)*V158*Y158*VLOOKUP('Données projet'!$B$9,Paramètres!$A$1:$I$89,3,0)*0.475*44/12</f>
        <v>1.6878158203508224E-18</v>
      </c>
      <c r="AC158" s="24">
        <f t="shared" si="163"/>
        <v>0.69591944586642551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175.05987582828078</v>
      </c>
      <c r="AO158" s="62">
        <f t="shared" si="144"/>
        <v>268.54782308462387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0.28377134066932813</v>
      </c>
      <c r="AW158" s="23">
        <f>EXP(-LN(2)/2)*AW157+(1-EXP(-LN(2)/2))/(LN(2)/2)*AQ158*AT158*VLOOKUP('Données projet'!$B$10,Paramètres!$A$1:$I$89,3,0)*0.475*44/12</f>
        <v>1.9394570776850692E-18</v>
      </c>
      <c r="AX158" s="23">
        <f t="shared" si="166"/>
        <v>0.28377134066932813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287.29865338866551</v>
      </c>
      <c r="BJ158" s="62">
        <f t="shared" si="146"/>
        <v>217.57508587672368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0.342330496350708</v>
      </c>
      <c r="BR158" s="23">
        <f>EXP(-LN(2)/2)*BR157+(1-EXP(-LN(2)/2))/(LN(2)/2)*BL158*BO158*VLOOKUP('Données projet'!$B$11,Paramètres!$A$1:$I$89,3,0)*0.475*44/12</f>
        <v>1.9727636838827495E-18</v>
      </c>
      <c r="BS158" s="24">
        <f t="shared" si="169"/>
        <v>0.342330496350708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-1.9065282685915009E-13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302.20483575440988</v>
      </c>
      <c r="T159" s="62">
        <f t="shared" si="142"/>
        <v>275.32862097158687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0.67688949202239501</v>
      </c>
      <c r="AB159" s="23">
        <f>EXP(-LN(2)/2)*AB158+(1-EXP(-LN(2)/2))/(LN(2)/2)*V159*Y159*VLOOKUP('Données projet'!$B$9,Paramètres!$A$1:$I$89,3,0)*0.475*44/12</f>
        <v>1.1934660119640023E-18</v>
      </c>
      <c r="AC159" s="24">
        <f t="shared" si="163"/>
        <v>0.67688949202239501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175.05987582828078</v>
      </c>
      <c r="AO159" s="62">
        <f t="shared" si="144"/>
        <v>268.54782308462387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0.27601159843583911</v>
      </c>
      <c r="AW159" s="23">
        <f>EXP(-LN(2)/2)*AW158+(1-EXP(-LN(2)/2))/(LN(2)/2)*AQ159*AT159*VLOOKUP('Données projet'!$B$10,Paramètres!$A$1:$I$89,3,0)*0.475*44/12</f>
        <v>1.3714032514513571E-18</v>
      </c>
      <c r="AX159" s="23">
        <f t="shared" si="166"/>
        <v>0.27601159843583911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287.29865338866551</v>
      </c>
      <c r="BJ159" s="62">
        <f t="shared" si="146"/>
        <v>217.57508587672368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0.33296945092561947</v>
      </c>
      <c r="BR159" s="23">
        <f>EXP(-LN(2)/2)*BR158+(1-EXP(-LN(2)/2))/(LN(2)/2)*BL159*BO159*VLOOKUP('Données projet'!$B$11,Paramètres!$A$1:$I$89,3,0)*0.475*44/12</f>
        <v>1.3949545785520468E-18</v>
      </c>
      <c r="BS159" s="24">
        <f t="shared" si="169"/>
        <v>0.33296945092561947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-1.9065282685915009E-13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302.20483575440988</v>
      </c>
      <c r="T160" s="62">
        <f t="shared" si="142"/>
        <v>275.32862097158687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0.65837991326697132</v>
      </c>
      <c r="AB160" s="23">
        <f>EXP(-LN(2)/2)*AB159+(1-EXP(-LN(2)/2))/(LN(2)/2)*V160*Y160*VLOOKUP('Données projet'!$B$9,Paramètres!$A$1:$I$89,3,0)*0.475*44/12</f>
        <v>8.4390791017541128E-19</v>
      </c>
      <c r="AC160" s="24">
        <f t="shared" si="163"/>
        <v>0.65837991326697132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175.05987582828078</v>
      </c>
      <c r="AO160" s="62">
        <f t="shared" si="144"/>
        <v>268.54782308462387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0.26846404676179197</v>
      </c>
      <c r="AW160" s="23">
        <f>EXP(-LN(2)/2)*AW159+(1-EXP(-LN(2)/2))/(LN(2)/2)*AQ160*AT160*VLOOKUP('Données projet'!$B$10,Paramètres!$A$1:$I$89,3,0)*0.475*44/12</f>
        <v>9.697285388425346E-19</v>
      </c>
      <c r="AX160" s="23">
        <f t="shared" si="166"/>
        <v>0.26846404676179197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287.29865338866551</v>
      </c>
      <c r="BJ160" s="62">
        <f t="shared" si="146"/>
        <v>217.57508587672368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0.32386438377995597</v>
      </c>
      <c r="BR160" s="23">
        <f>EXP(-LN(2)/2)*BR159+(1-EXP(-LN(2)/2))/(LN(2)/2)*BL160*BO160*VLOOKUP('Données projet'!$B$11,Paramètres!$A$1:$I$89,3,0)*0.475*44/12</f>
        <v>9.8638184194137475E-19</v>
      </c>
      <c r="BS160" s="24">
        <f t="shared" si="169"/>
        <v>0.32386438377995597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-1.9065282685915009E-13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302.20483575440988</v>
      </c>
      <c r="T161" s="62">
        <f t="shared" si="142"/>
        <v>275.32862097158687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0.64037647991599111</v>
      </c>
      <c r="AB161" s="23">
        <f>EXP(-LN(2)/2)*AB160+(1-EXP(-LN(2)/2))/(LN(2)/2)*V161*Y161*VLOOKUP('Données projet'!$B$9,Paramètres!$A$1:$I$89,3,0)*0.475*44/12</f>
        <v>5.9673300598200123E-19</v>
      </c>
      <c r="AC161" s="24">
        <f t="shared" si="163"/>
        <v>0.64037647991599111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175.05987582828078</v>
      </c>
      <c r="AO161" s="62">
        <f t="shared" si="144"/>
        <v>268.54782308462387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0.26112288328518013</v>
      </c>
      <c r="AW161" s="23">
        <f>EXP(-LN(2)/2)*AW160+(1-EXP(-LN(2)/2))/(LN(2)/2)*AQ161*AT161*VLOOKUP('Données projet'!$B$10,Paramètres!$A$1:$I$89,3,0)*0.475*44/12</f>
        <v>6.8570162572567857E-19</v>
      </c>
      <c r="AX161" s="23">
        <f t="shared" si="166"/>
        <v>0.26112288328518013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287.29865338866551</v>
      </c>
      <c r="BJ161" s="62">
        <f t="shared" si="146"/>
        <v>217.57508587672368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0.31500829517420531</v>
      </c>
      <c r="BR161" s="23">
        <f>EXP(-LN(2)/2)*BR160+(1-EXP(-LN(2)/2))/(LN(2)/2)*BL161*BO161*VLOOKUP('Données projet'!$B$11,Paramètres!$A$1:$I$89,3,0)*0.475*44/12</f>
        <v>6.974772892760234E-19</v>
      </c>
      <c r="BS161" s="24">
        <f t="shared" si="169"/>
        <v>0.31500829517420531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-1.9065282685915009E-13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302.20483575440988</v>
      </c>
      <c r="T162" s="62">
        <f t="shared" si="142"/>
        <v>275.32862097158687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0.62286535139675281</v>
      </c>
      <c r="AB162" s="23">
        <f>EXP(-LN(2)/2)*AB161+(1-EXP(-LN(2)/2))/(LN(2)/2)*V162*Y162*VLOOKUP('Données projet'!$B$9,Paramètres!$A$1:$I$89,3,0)*0.475*44/12</f>
        <v>4.2195395508770574E-19</v>
      </c>
      <c r="AC162" s="24">
        <f t="shared" si="163"/>
        <v>0.62286535139675281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175.05987582828078</v>
      </c>
      <c r="AO162" s="62">
        <f t="shared" si="144"/>
        <v>268.54782308462387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0.25398246430989124</v>
      </c>
      <c r="AW162" s="23">
        <f>EXP(-LN(2)/2)*AW161+(1-EXP(-LN(2)/2))/(LN(2)/2)*AQ162*AT162*VLOOKUP('Données projet'!$B$10,Paramètres!$A$1:$I$89,3,0)*0.475*44/12</f>
        <v>4.848642694212673E-19</v>
      </c>
      <c r="AX162" s="23">
        <f t="shared" si="166"/>
        <v>0.25398246430989124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287.29865338866551</v>
      </c>
      <c r="BJ162" s="62">
        <f t="shared" si="146"/>
        <v>217.57508587672368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0.30639437677710041</v>
      </c>
      <c r="BR162" s="23">
        <f>EXP(-LN(2)/2)*BR161+(1-EXP(-LN(2)/2))/(LN(2)/2)*BL162*BO162*VLOOKUP('Données projet'!$B$11,Paramètres!$A$1:$I$89,3,0)*0.475*44/12</f>
        <v>4.9319092097068738E-19</v>
      </c>
      <c r="BS162" s="24">
        <f t="shared" si="169"/>
        <v>0.30639437677710041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-1.9065282685915009E-13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302.20483575440988</v>
      </c>
      <c r="T163" s="62">
        <f t="shared" si="142"/>
        <v>275.32862097158687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0.6058330656077433</v>
      </c>
      <c r="AB163" s="23">
        <f>EXP(-LN(2)/2)*AB162+(1-EXP(-LN(2)/2))/(LN(2)/2)*V163*Y163*VLOOKUP('Données projet'!$B$9,Paramètres!$A$1:$I$89,3,0)*0.475*44/12</f>
        <v>2.9836650299100066E-19</v>
      </c>
      <c r="AC163" s="24">
        <f t="shared" si="163"/>
        <v>0.6058330656077433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175.05987582828078</v>
      </c>
      <c r="AO163" s="62">
        <f t="shared" si="144"/>
        <v>268.54782308462387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0.24703730046697994</v>
      </c>
      <c r="AW163" s="23">
        <f>EXP(-LN(2)/2)*AW162+(1-EXP(-LN(2)/2))/(LN(2)/2)*AQ163*AT163*VLOOKUP('Données projet'!$B$10,Paramètres!$A$1:$I$89,3,0)*0.475*44/12</f>
        <v>3.4285081286283929E-19</v>
      </c>
      <c r="AX163" s="23">
        <f t="shared" si="166"/>
        <v>0.24703730046697994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287.29865338866551</v>
      </c>
      <c r="BJ163" s="62">
        <f t="shared" si="146"/>
        <v>217.57508587672368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0.29801600643155057</v>
      </c>
      <c r="BR163" s="23">
        <f>EXP(-LN(2)/2)*BR162+(1-EXP(-LN(2)/2))/(LN(2)/2)*BL163*BO163*VLOOKUP('Données projet'!$B$11,Paramètres!$A$1:$I$89,3,0)*0.475*44/12</f>
        <v>3.487386446380117E-19</v>
      </c>
      <c r="BS163" s="24">
        <f t="shared" si="169"/>
        <v>0.29801600643155057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-1.9065282685915009E-13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302.20483575440988</v>
      </c>
      <c r="T164" s="62">
        <f t="shared" si="142"/>
        <v>275.32862097158687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0.58926652856932327</v>
      </c>
      <c r="AB164" s="23">
        <f>EXP(-LN(2)/2)*AB163+(1-EXP(-LN(2)/2))/(LN(2)/2)*V164*Y164*VLOOKUP('Données projet'!$B$9,Paramètres!$A$1:$I$89,3,0)*0.475*44/12</f>
        <v>2.1097697754385289E-19</v>
      </c>
      <c r="AC164" s="24">
        <f t="shared" si="163"/>
        <v>0.58926652856932327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175.05987582828078</v>
      </c>
      <c r="AO164" s="62">
        <f t="shared" si="144"/>
        <v>268.54782308462387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0.24028205249458334</v>
      </c>
      <c r="AW164" s="23">
        <f>EXP(-LN(2)/2)*AW163+(1-EXP(-LN(2)/2))/(LN(2)/2)*AQ164*AT164*VLOOKUP('Données projet'!$B$10,Paramètres!$A$1:$I$89,3,0)*0.475*44/12</f>
        <v>2.4243213471063365E-19</v>
      </c>
      <c r="AX164" s="23">
        <f t="shared" si="166"/>
        <v>0.24028205249458334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287.29865338866551</v>
      </c>
      <c r="BJ164" s="62">
        <f t="shared" si="146"/>
        <v>217.57508587672368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0.28986674306369919</v>
      </c>
      <c r="BR164" s="23">
        <f>EXP(-LN(2)/2)*BR163+(1-EXP(-LN(2)/2))/(LN(2)/2)*BL164*BO164*VLOOKUP('Données projet'!$B$11,Paramètres!$A$1:$I$89,3,0)*0.475*44/12</f>
        <v>2.4659546048534369E-19</v>
      </c>
      <c r="BS164" s="24">
        <f t="shared" si="169"/>
        <v>0.28986674306369919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-1.9065282685915009E-13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302.20483575440988</v>
      </c>
      <c r="T165" s="62">
        <f t="shared" si="142"/>
        <v>275.32862097158687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0.57315300435741512</v>
      </c>
      <c r="AB165" s="23">
        <f>EXP(-LN(2)/2)*AB164+(1-EXP(-LN(2)/2))/(LN(2)/2)*V165*Y165*VLOOKUP('Données projet'!$B$9,Paramètres!$A$1:$I$89,3,0)*0.475*44/12</f>
        <v>1.4918325149550036E-19</v>
      </c>
      <c r="AC165" s="24">
        <f t="shared" si="163"/>
        <v>0.57315300435741512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175.05987582828078</v>
      </c>
      <c r="AO165" s="62">
        <f t="shared" si="144"/>
        <v>268.54782308462387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0.23371152713323498</v>
      </c>
      <c r="AW165" s="23">
        <f>EXP(-LN(2)/2)*AW164+(1-EXP(-LN(2)/2))/(LN(2)/2)*AQ165*AT165*VLOOKUP('Données projet'!$B$10,Paramètres!$A$1:$I$89,3,0)*0.475*44/12</f>
        <v>1.7142540643141964E-19</v>
      </c>
      <c r="AX165" s="23">
        <f t="shared" si="166"/>
        <v>0.23371152713323498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287.29865338866551</v>
      </c>
      <c r="BJ165" s="62">
        <f t="shared" si="146"/>
        <v>217.57508587672368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0.28194032173119282</v>
      </c>
      <c r="BR165" s="23">
        <f>EXP(-LN(2)/2)*BR164+(1-EXP(-LN(2)/2))/(LN(2)/2)*BL165*BO165*VLOOKUP('Données projet'!$B$11,Paramètres!$A$1:$I$89,3,0)*0.475*44/12</f>
        <v>1.7436932231900585E-19</v>
      </c>
      <c r="BS165" s="24">
        <f t="shared" si="169"/>
        <v>0.28194032173119282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-1.9065282685915009E-13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302.20483575440988</v>
      </c>
      <c r="T166" s="62">
        <f t="shared" si="142"/>
        <v>275.32862097158687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0.55748010531245507</v>
      </c>
      <c r="AB166" s="23">
        <f>EXP(-LN(2)/2)*AB165+(1-EXP(-LN(2)/2))/(LN(2)/2)*V166*Y166*VLOOKUP('Données projet'!$B$9,Paramètres!$A$1:$I$89,3,0)*0.475*44/12</f>
        <v>1.0548848877192647E-19</v>
      </c>
      <c r="AC166" s="24">
        <f t="shared" si="163"/>
        <v>0.55748010531245507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175.05987582828078</v>
      </c>
      <c r="AO166" s="62">
        <f t="shared" si="144"/>
        <v>268.54782308462387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0.22732067313342161</v>
      </c>
      <c r="AW166" s="23">
        <f>EXP(-LN(2)/2)*AW165+(1-EXP(-LN(2)/2))/(LN(2)/2)*AQ166*AT166*VLOOKUP('Données projet'!$B$10,Paramètres!$A$1:$I$89,3,0)*0.475*44/12</f>
        <v>1.2121606735531683E-19</v>
      </c>
      <c r="AX166" s="23">
        <f t="shared" si="166"/>
        <v>0.22732067313342161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287.29865338866551</v>
      </c>
      <c r="BJ166" s="62">
        <f t="shared" si="146"/>
        <v>217.57508587672368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0.27423064880685621</v>
      </c>
      <c r="BR166" s="23">
        <f>EXP(-LN(2)/2)*BR165+(1-EXP(-LN(2)/2))/(LN(2)/2)*BL166*BO166*VLOOKUP('Données projet'!$B$11,Paramètres!$A$1:$I$89,3,0)*0.475*44/12</f>
        <v>1.2329773024267184E-19</v>
      </c>
      <c r="BS166" s="24">
        <f t="shared" si="169"/>
        <v>0.27423064880685621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-1.9065282685915009E-13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302.20483575440988</v>
      </c>
      <c r="T167" s="62">
        <f t="shared" si="142"/>
        <v>275.32862097158687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0.5422357825160814</v>
      </c>
      <c r="AB167" s="23">
        <f>EXP(-LN(2)/2)*AB166+(1-EXP(-LN(2)/2))/(LN(2)/2)*V167*Y167*VLOOKUP('Données projet'!$B$9,Paramètres!$A$1:$I$89,3,0)*0.475*44/12</f>
        <v>7.459162574775019E-20</v>
      </c>
      <c r="AC167" s="24">
        <f t="shared" si="163"/>
        <v>0.5422357825160814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175.05987582828078</v>
      </c>
      <c r="AO167" s="62">
        <f t="shared" si="144"/>
        <v>268.54782308462387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0.22110457737231354</v>
      </c>
      <c r="AW167" s="23">
        <f>EXP(-LN(2)/2)*AW166+(1-EXP(-LN(2)/2))/(LN(2)/2)*AQ167*AT167*VLOOKUP('Données projet'!$B$10,Paramètres!$A$1:$I$89,3,0)*0.475*44/12</f>
        <v>8.5712703215709822E-20</v>
      </c>
      <c r="AX167" s="23">
        <f t="shared" si="166"/>
        <v>0.22110457737231354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287.29865338866551</v>
      </c>
      <c r="BJ167" s="62">
        <f t="shared" si="146"/>
        <v>217.57508587672368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0.26673179729406965</v>
      </c>
      <c r="BR167" s="23">
        <f>EXP(-LN(2)/2)*BR166+(1-EXP(-LN(2)/2))/(LN(2)/2)*BL167*BO167*VLOOKUP('Données projet'!$B$11,Paramètres!$A$1:$I$89,3,0)*0.475*44/12</f>
        <v>8.7184661159502925E-20</v>
      </c>
      <c r="BS167" s="24">
        <f t="shared" si="169"/>
        <v>0.26673179729406965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-1.9065282685915009E-13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302.20483575440988</v>
      </c>
      <c r="T168" s="62">
        <f t="shared" si="142"/>
        <v>275.32862097158687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0.52740831652823861</v>
      </c>
      <c r="AB168" s="23">
        <f>EXP(-LN(2)/2)*AB167+(1-EXP(-LN(2)/2))/(LN(2)/2)*V168*Y168*VLOOKUP('Données projet'!$B$9,Paramètres!$A$1:$I$89,3,0)*0.475*44/12</f>
        <v>5.2744244385963241E-20</v>
      </c>
      <c r="AC168" s="24">
        <f t="shared" si="163"/>
        <v>0.52740831652823861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175.05987582828078</v>
      </c>
      <c r="AO168" s="62">
        <f t="shared" si="144"/>
        <v>268.54782308462387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0.21505846107668325</v>
      </c>
      <c r="AW168" s="23">
        <f>EXP(-LN(2)/2)*AW167+(1-EXP(-LN(2)/2))/(LN(2)/2)*AQ168*AT168*VLOOKUP('Données projet'!$B$10,Paramètres!$A$1:$I$89,3,0)*0.475*44/12</f>
        <v>6.0608033677658413E-20</v>
      </c>
      <c r="AX168" s="23">
        <f t="shared" si="166"/>
        <v>0.21505846107668325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287.29865338866551</v>
      </c>
      <c r="BJ168" s="62">
        <f t="shared" si="146"/>
        <v>217.57508587672368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0.25943800227024771</v>
      </c>
      <c r="BR168" s="23">
        <f>EXP(-LN(2)/2)*BR167+(1-EXP(-LN(2)/2))/(LN(2)/2)*BL168*BO168*VLOOKUP('Données projet'!$B$11,Paramètres!$A$1:$I$89,3,0)*0.475*44/12</f>
        <v>6.1648865121335922E-20</v>
      </c>
      <c r="BS168" s="24">
        <f t="shared" si="169"/>
        <v>0.25943800227024771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-1.9065282685915009E-13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302.20483575440988</v>
      </c>
      <c r="T169" s="62">
        <f t="shared" si="142"/>
        <v>275.32862097158687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0.51298630837757597</v>
      </c>
      <c r="AB169" s="23">
        <f>EXP(-LN(2)/2)*AB168+(1-EXP(-LN(2)/2))/(LN(2)/2)*V169*Y169*VLOOKUP('Données projet'!$B$9,Paramètres!$A$1:$I$89,3,0)*0.475*44/12</f>
        <v>3.7295812873875101E-20</v>
      </c>
      <c r="AC169" s="24">
        <f t="shared" si="163"/>
        <v>0.51298630837757597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175.05987582828078</v>
      </c>
      <c r="AO169" s="62">
        <f t="shared" si="144"/>
        <v>268.54782308462387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0.2091776761491084</v>
      </c>
      <c r="AW169" s="23">
        <f>EXP(-LN(2)/2)*AW168+(1-EXP(-LN(2)/2))/(LN(2)/2)*AQ169*AT169*VLOOKUP('Données projet'!$B$10,Paramètres!$A$1:$I$89,3,0)*0.475*44/12</f>
        <v>4.2856351607854911E-20</v>
      </c>
      <c r="AX169" s="23">
        <f t="shared" si="166"/>
        <v>0.2091776761491084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287.29865338866551</v>
      </c>
      <c r="BJ169" s="62">
        <f t="shared" si="146"/>
        <v>217.57508587672368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0.25234365645491619</v>
      </c>
      <c r="BR169" s="23">
        <f>EXP(-LN(2)/2)*BR168+(1-EXP(-LN(2)/2))/(LN(2)/2)*BL169*BO169*VLOOKUP('Données projet'!$B$11,Paramètres!$A$1:$I$89,3,0)*0.475*44/12</f>
        <v>4.3592330579751462E-20</v>
      </c>
      <c r="BS169" s="24">
        <f t="shared" si="169"/>
        <v>0.25234365645491619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-1.9065282685915009E-13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302.20483575440988</v>
      </c>
      <c r="T170" s="62">
        <f t="shared" si="142"/>
        <v>275.32862097158687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0.49895867079821365</v>
      </c>
      <c r="AB170" s="23">
        <f>EXP(-LN(2)/2)*AB169+(1-EXP(-LN(2)/2))/(LN(2)/2)*V170*Y170*VLOOKUP('Données projet'!$B$9,Paramètres!$A$1:$I$89,3,0)*0.475*44/12</f>
        <v>2.6372122192981624E-20</v>
      </c>
      <c r="AC170" s="24">
        <f t="shared" si="163"/>
        <v>0.49895867079821365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175.05987582828078</v>
      </c>
      <c r="AO170" s="62">
        <f t="shared" si="144"/>
        <v>268.54782308462387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0.20345770159463511</v>
      </c>
      <c r="AW170" s="23">
        <f>EXP(-LN(2)/2)*AW169+(1-EXP(-LN(2)/2))/(LN(2)/2)*AQ170*AT170*VLOOKUP('Données projet'!$B$10,Paramètres!$A$1:$I$89,3,0)*0.475*44/12</f>
        <v>3.0304016838829206E-20</v>
      </c>
      <c r="AX170" s="23">
        <f t="shared" si="166"/>
        <v>0.20345770159463511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287.29865338866551</v>
      </c>
      <c r="BJ170" s="62">
        <f t="shared" si="146"/>
        <v>217.57508587672368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0.24544330589898036</v>
      </c>
      <c r="BR170" s="23">
        <f>EXP(-LN(2)/2)*BR169+(1-EXP(-LN(2)/2))/(LN(2)/2)*BL170*BO170*VLOOKUP('Données projet'!$B$11,Paramètres!$A$1:$I$89,3,0)*0.475*44/12</f>
        <v>3.0824432560667961E-20</v>
      </c>
      <c r="BS170" s="24">
        <f t="shared" si="169"/>
        <v>0.24544330589898036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-1.9065282685915009E-13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302.20483575440988</v>
      </c>
      <c r="T171" s="62">
        <f t="shared" si="142"/>
        <v>275.32862097158687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0.48531461970614037</v>
      </c>
      <c r="AB171" s="23">
        <f>EXP(-LN(2)/2)*AB170+(1-EXP(-LN(2)/2))/(LN(2)/2)*V171*Y171*VLOOKUP('Données projet'!$B$9,Paramètres!$A$1:$I$89,3,0)*0.475*44/12</f>
        <v>1.8647906436937554E-20</v>
      </c>
      <c r="AC171" s="24">
        <f t="shared" si="163"/>
        <v>0.48531461970614037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175.05987582828078</v>
      </c>
      <c r="AO171" s="62">
        <f t="shared" si="144"/>
        <v>268.54782308462387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0.19789414004515429</v>
      </c>
      <c r="AW171" s="23">
        <f>EXP(-LN(2)/2)*AW170+(1-EXP(-LN(2)/2))/(LN(2)/2)*AQ171*AT171*VLOOKUP('Données projet'!$B$10,Paramètres!$A$1:$I$89,3,0)*0.475*44/12</f>
        <v>2.1428175803927455E-20</v>
      </c>
      <c r="AX171" s="23">
        <f t="shared" si="166"/>
        <v>0.19789414004515429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287.29865338866551</v>
      </c>
      <c r="BJ171" s="62">
        <f t="shared" si="146"/>
        <v>217.57508587672368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0.23873164579187026</v>
      </c>
      <c r="BR171" s="23">
        <f>EXP(-LN(2)/2)*BR170+(1-EXP(-LN(2)/2))/(LN(2)/2)*BL171*BO171*VLOOKUP('Données projet'!$B$11,Paramètres!$A$1:$I$89,3,0)*0.475*44/12</f>
        <v>2.1796165289875731E-20</v>
      </c>
      <c r="BS171" s="24">
        <f t="shared" si="169"/>
        <v>0.23873164579187026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-1.9065282685915009E-13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302.20483575440988</v>
      </c>
      <c r="T172" s="62">
        <f t="shared" si="142"/>
        <v>275.32862097158687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0.47204366590868929</v>
      </c>
      <c r="AB172" s="23">
        <f>EXP(-LN(2)/2)*AB171+(1-EXP(-LN(2)/2))/(LN(2)/2)*V172*Y172*VLOOKUP('Données projet'!$B$9,Paramètres!$A$1:$I$89,3,0)*0.475*44/12</f>
        <v>1.3186061096490815E-20</v>
      </c>
      <c r="AC172" s="24">
        <f t="shared" si="163"/>
        <v>0.47204366590868929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175.05987582828078</v>
      </c>
      <c r="AO172" s="62">
        <f t="shared" si="144"/>
        <v>268.54782308462387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0.19248271437881903</v>
      </c>
      <c r="AW172" s="23">
        <f>EXP(-LN(2)/2)*AW171+(1-EXP(-LN(2)/2))/(LN(2)/2)*AQ172*AT172*VLOOKUP('Données projet'!$B$10,Paramètres!$A$1:$I$89,3,0)*0.475*44/12</f>
        <v>1.5152008419414603E-20</v>
      </c>
      <c r="AX172" s="23">
        <f t="shared" si="166"/>
        <v>0.19248271437881903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287.29865338866551</v>
      </c>
      <c r="BJ172" s="62">
        <f t="shared" si="146"/>
        <v>217.57508587672368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0.23220351638333994</v>
      </c>
      <c r="BR172" s="23">
        <f>EXP(-LN(2)/2)*BR171+(1-EXP(-LN(2)/2))/(LN(2)/2)*BL172*BO172*VLOOKUP('Données projet'!$B$11,Paramètres!$A$1:$I$89,3,0)*0.475*44/12</f>
        <v>1.541221628033398E-20</v>
      </c>
      <c r="BS172" s="24">
        <f t="shared" si="169"/>
        <v>0.23220351638333994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-1.9065282685915009E-13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302.20483575440988</v>
      </c>
      <c r="T173" s="62">
        <f t="shared" si="142"/>
        <v>275.32862097158687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0.45913560704071865</v>
      </c>
      <c r="AB173" s="23">
        <f>EXP(-LN(2)/2)*AB172+(1-EXP(-LN(2)/2))/(LN(2)/2)*V173*Y173*VLOOKUP('Données projet'!$B$9,Paramètres!$A$1:$I$89,3,0)*0.475*44/12</f>
        <v>9.3239532184687783E-21</v>
      </c>
      <c r="AC173" s="24">
        <f t="shared" si="163"/>
        <v>0.45913560704071865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175.05987582828078</v>
      </c>
      <c r="AO173" s="62">
        <f t="shared" si="144"/>
        <v>268.54782308462387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0.1872192644319042</v>
      </c>
      <c r="AW173" s="23">
        <f>EXP(-LN(2)/2)*AW172+(1-EXP(-LN(2)/2))/(LN(2)/2)*AQ173*AT173*VLOOKUP('Données projet'!$B$10,Paramètres!$A$1:$I$89,3,0)*0.475*44/12</f>
        <v>1.0714087901963728E-20</v>
      </c>
      <c r="AX173" s="23">
        <f t="shared" si="166"/>
        <v>0.1872192644319042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287.29865338866551</v>
      </c>
      <c r="BJ173" s="62">
        <f t="shared" si="146"/>
        <v>217.57508587672368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0.22585389901678529</v>
      </c>
      <c r="BR173" s="23">
        <f>EXP(-LN(2)/2)*BR172+(1-EXP(-LN(2)/2))/(LN(2)/2)*BL173*BO173*VLOOKUP('Données projet'!$B$11,Paramètres!$A$1:$I$89,3,0)*0.475*44/12</f>
        <v>1.0898082644937866E-20</v>
      </c>
      <c r="BS173" s="24">
        <f t="shared" si="169"/>
        <v>0.22585389901678529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-1.9065282685915009E-13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302.20483575440988</v>
      </c>
      <c r="T174" s="62">
        <f t="shared" si="142"/>
        <v>275.32862097158687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0.44658051972129797</v>
      </c>
      <c r="AB174" s="23">
        <f>EXP(-LN(2)/2)*AB173+(1-EXP(-LN(2)/2))/(LN(2)/2)*V174*Y174*VLOOKUP('Données projet'!$B$9,Paramètres!$A$1:$I$89,3,0)*0.475*44/12</f>
        <v>6.5930305482454082E-21</v>
      </c>
      <c r="AC174" s="24">
        <f t="shared" si="163"/>
        <v>0.44658051972129797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175.05987582828078</v>
      </c>
      <c r="AO174" s="62">
        <f t="shared" si="144"/>
        <v>268.54782308462387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0.18209974380058055</v>
      </c>
      <c r="AW174" s="23">
        <f>EXP(-LN(2)/2)*AW173+(1-EXP(-LN(2)/2))/(LN(2)/2)*AQ174*AT174*VLOOKUP('Données projet'!$B$10,Paramètres!$A$1:$I$89,3,0)*0.475*44/12</f>
        <v>7.5760042097073016E-21</v>
      </c>
      <c r="AX174" s="23">
        <f t="shared" si="166"/>
        <v>0.18209974380058055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287.29865338866551</v>
      </c>
      <c r="BJ174" s="62">
        <f t="shared" si="146"/>
        <v>217.57508587672368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0.21967791227103095</v>
      </c>
      <c r="BR174" s="23">
        <f>EXP(-LN(2)/2)*BR173+(1-EXP(-LN(2)/2))/(LN(2)/2)*BL174*BO174*VLOOKUP('Données projet'!$B$11,Paramètres!$A$1:$I$89,3,0)*0.475*44/12</f>
        <v>7.7061081401669902E-21</v>
      </c>
      <c r="BS174" s="24">
        <f t="shared" si="169"/>
        <v>0.21967791227103095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-1.9065282685915009E-13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302.20483575440988</v>
      </c>
      <c r="T175" s="62">
        <f t="shared" si="142"/>
        <v>275.32862097158687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0.43436875192487023</v>
      </c>
      <c r="AB175" s="23">
        <f>EXP(-LN(2)/2)*AB174+(1-EXP(-LN(2)/2))/(LN(2)/2)*V175*Y175*VLOOKUP('Données projet'!$B$9,Paramètres!$A$1:$I$89,3,0)*0.475*44/12</f>
        <v>4.6619766092343899E-21</v>
      </c>
      <c r="AC175" s="24">
        <f t="shared" si="163"/>
        <v>0.43436875192487023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175.05987582828078</v>
      </c>
      <c r="AO175" s="62">
        <f t="shared" si="144"/>
        <v>268.54782308462387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0.17712021673014436</v>
      </c>
      <c r="AW175" s="23">
        <f>EXP(-LN(2)/2)*AW174+(1-EXP(-LN(2)/2))/(LN(2)/2)*AQ175*AT175*VLOOKUP('Données projet'!$B$10,Paramètres!$A$1:$I$89,3,0)*0.475*44/12</f>
        <v>5.3570439509818639E-21</v>
      </c>
      <c r="AX175" s="23">
        <f t="shared" si="166"/>
        <v>0.17712021673014436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287.29865338866551</v>
      </c>
      <c r="BJ175" s="62">
        <f t="shared" si="146"/>
        <v>217.57508587672368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0.21367080820762027</v>
      </c>
      <c r="BR175" s="23">
        <f>EXP(-LN(2)/2)*BR174+(1-EXP(-LN(2)/2))/(LN(2)/2)*BL175*BO175*VLOOKUP('Données projet'!$B$11,Paramètres!$A$1:$I$89,3,0)*0.475*44/12</f>
        <v>5.4490413224689328E-21</v>
      </c>
      <c r="BS175" s="24">
        <f t="shared" si="169"/>
        <v>0.21367080820762027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-1.9065282685915009E-13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302.20483575440988</v>
      </c>
      <c r="T176" s="62">
        <f t="shared" si="142"/>
        <v>275.32862097158687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0.42249091556102475</v>
      </c>
      <c r="AB176" s="23">
        <f>EXP(-LN(2)/2)*AB175+(1-EXP(-LN(2)/2))/(LN(2)/2)*V176*Y176*VLOOKUP('Données projet'!$B$9,Paramètres!$A$1:$I$89,3,0)*0.475*44/12</f>
        <v>3.2965152741227048E-21</v>
      </c>
      <c r="AC176" s="24">
        <f t="shared" si="163"/>
        <v>0.42249091556102475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175.05987582828078</v>
      </c>
      <c r="AO176" s="62">
        <f t="shared" si="144"/>
        <v>268.54782308462387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0.17227685508931118</v>
      </c>
      <c r="AW176" s="23">
        <f>EXP(-LN(2)/2)*AW175+(1-EXP(-LN(2)/2))/(LN(2)/2)*AQ176*AT176*VLOOKUP('Données projet'!$B$10,Paramètres!$A$1:$I$89,3,0)*0.475*44/12</f>
        <v>3.7880021048536508E-21</v>
      </c>
      <c r="AX176" s="23">
        <f t="shared" si="166"/>
        <v>0.17227685508931118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287.29865338866551</v>
      </c>
      <c r="BJ176" s="62">
        <f t="shared" si="146"/>
        <v>217.57508587672368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0.20782796872072345</v>
      </c>
      <c r="BR176" s="23">
        <f>EXP(-LN(2)/2)*BR175+(1-EXP(-LN(2)/2))/(LN(2)/2)*BL176*BO176*VLOOKUP('Données projet'!$B$11,Paramètres!$A$1:$I$89,3,0)*0.475*44/12</f>
        <v>3.8530540700834951E-21</v>
      </c>
      <c r="BS176" s="24">
        <f t="shared" si="169"/>
        <v>0.20782796872072345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-1.9065282685915009E-13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302.20483575440988</v>
      </c>
      <c r="T177" s="62">
        <f t="shared" si="142"/>
        <v>275.32862097158687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0.4109378792571769</v>
      </c>
      <c r="AB177" s="23">
        <f>EXP(-LN(2)/2)*AB176+(1-EXP(-LN(2)/2))/(LN(2)/2)*V177*Y177*VLOOKUP('Données projet'!$B$9,Paramètres!$A$1:$I$89,3,0)*0.475*44/12</f>
        <v>2.3309883046171953E-21</v>
      </c>
      <c r="AC177" s="24">
        <f t="shared" si="163"/>
        <v>0.4109378792571769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175.05987582828078</v>
      </c>
      <c r="AO177" s="62">
        <f t="shared" si="144"/>
        <v>268.54782308462387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0.1675659354272479</v>
      </c>
      <c r="AW177" s="23">
        <f>EXP(-LN(2)/2)*AW176+(1-EXP(-LN(2)/2))/(LN(2)/2)*AQ177*AT177*VLOOKUP('Données projet'!$B$10,Paramètres!$A$1:$I$89,3,0)*0.475*44/12</f>
        <v>2.6785219754909319E-21</v>
      </c>
      <c r="AX177" s="23">
        <f t="shared" si="166"/>
        <v>0.1675659354272479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287.29865338866551</v>
      </c>
      <c r="BJ177" s="62">
        <f t="shared" si="146"/>
        <v>217.57508587672368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0.20214490198685739</v>
      </c>
      <c r="BR177" s="23">
        <f>EXP(-LN(2)/2)*BR176+(1-EXP(-LN(2)/2))/(LN(2)/2)*BL177*BO177*VLOOKUP('Données projet'!$B$11,Paramètres!$A$1:$I$89,3,0)*0.475*44/12</f>
        <v>2.7245206612344664E-21</v>
      </c>
      <c r="BS177" s="24">
        <f t="shared" si="169"/>
        <v>0.20214490198685739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-1.9065282685915009E-13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302.20483575440988</v>
      </c>
      <c r="T178" s="62">
        <f t="shared" si="142"/>
        <v>275.32862097158687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0.39970076133860555</v>
      </c>
      <c r="AB178" s="23">
        <f>EXP(-LN(2)/2)*AB177+(1-EXP(-LN(2)/2))/(LN(2)/2)*V178*Y178*VLOOKUP('Données projet'!$B$9,Paramètres!$A$1:$I$89,3,0)*0.475*44/12</f>
        <v>1.6482576370613526E-21</v>
      </c>
      <c r="AC178" s="24">
        <f t="shared" si="163"/>
        <v>0.39970076133860555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175.05987582828078</v>
      </c>
      <c r="AO178" s="62">
        <f t="shared" si="144"/>
        <v>268.54782308462387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0.16298383611108025</v>
      </c>
      <c r="AW178" s="23">
        <f>EXP(-LN(2)/2)*AW177+(1-EXP(-LN(2)/2))/(LN(2)/2)*AQ178*AT178*VLOOKUP('Données projet'!$B$10,Paramètres!$A$1:$I$89,3,0)*0.475*44/12</f>
        <v>1.8940010524268254E-21</v>
      </c>
      <c r="AX178" s="23">
        <f t="shared" si="166"/>
        <v>0.16298383611108025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287.29865338866551</v>
      </c>
      <c r="BJ178" s="62">
        <f t="shared" si="146"/>
        <v>217.57508587672368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0.1966172390116884</v>
      </c>
      <c r="BR178" s="23">
        <f>EXP(-LN(2)/2)*BR177+(1-EXP(-LN(2)/2))/(LN(2)/2)*BL178*BO178*VLOOKUP('Données projet'!$B$11,Paramètres!$A$1:$I$89,3,0)*0.475*44/12</f>
        <v>1.9265270350417476E-21</v>
      </c>
      <c r="BS178" s="24">
        <f t="shared" si="169"/>
        <v>0.1966172390116884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-1.9065282685915009E-13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302.20483575440988</v>
      </c>
      <c r="T179" s="62">
        <f t="shared" si="142"/>
        <v>275.32862097158687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0.38877092300045185</v>
      </c>
      <c r="AB179" s="23">
        <f>EXP(-LN(2)/2)*AB178+(1-EXP(-LN(2)/2))/(LN(2)/2)*V179*Y179*VLOOKUP('Données projet'!$B$9,Paramètres!$A$1:$I$89,3,0)*0.475*44/12</f>
        <v>1.1654941523085978E-21</v>
      </c>
      <c r="AC179" s="24">
        <f t="shared" si="163"/>
        <v>0.38877092300045185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175.05987582828078</v>
      </c>
      <c r="AO179" s="62">
        <f t="shared" si="144"/>
        <v>268.54782308462387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0.15852703454167533</v>
      </c>
      <c r="AW179" s="23">
        <f>EXP(-LN(2)/2)*AW178+(1-EXP(-LN(2)/2))/(LN(2)/2)*AQ179*AT179*VLOOKUP('Données projet'!$B$10,Paramètres!$A$1:$I$89,3,0)*0.475*44/12</f>
        <v>1.339260987745466E-21</v>
      </c>
      <c r="AX179" s="23">
        <f t="shared" si="166"/>
        <v>0.15852703454167533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287.29865338866551</v>
      </c>
      <c r="BJ179" s="62">
        <f t="shared" si="146"/>
        <v>217.57508587672368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0.19124073027126257</v>
      </c>
      <c r="BR179" s="23">
        <f>EXP(-LN(2)/2)*BR178+(1-EXP(-LN(2)/2))/(LN(2)/2)*BL179*BO179*VLOOKUP('Données projet'!$B$11,Paramètres!$A$1:$I$89,3,0)*0.475*44/12</f>
        <v>1.3622603306172332E-21</v>
      </c>
      <c r="BS179" s="24">
        <f t="shared" si="169"/>
        <v>0.19124073027126257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-1.9065282685915009E-13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302.20483575440988</v>
      </c>
      <c r="T180" s="62">
        <f t="shared" si="142"/>
        <v>275.32862097158687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0.37813996166643021</v>
      </c>
      <c r="AB180" s="23">
        <f>EXP(-LN(2)/2)*AB179+(1-EXP(-LN(2)/2))/(LN(2)/2)*V180*Y180*VLOOKUP('Données projet'!$B$9,Paramètres!$A$1:$I$89,3,0)*0.475*44/12</f>
        <v>8.2412881853067649E-22</v>
      </c>
      <c r="AC180" s="24">
        <f t="shared" si="163"/>
        <v>0.37813996166643021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175.05987582828078</v>
      </c>
      <c r="AO180" s="62">
        <f t="shared" si="144"/>
        <v>268.54782308462387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0.15419210444555878</v>
      </c>
      <c r="AW180" s="23">
        <f>EXP(-LN(2)/2)*AW179+(1-EXP(-LN(2)/2))/(LN(2)/2)*AQ180*AT180*VLOOKUP('Données projet'!$B$10,Paramètres!$A$1:$I$89,3,0)*0.475*44/12</f>
        <v>9.470005262134127E-22</v>
      </c>
      <c r="AX180" s="23">
        <f t="shared" si="166"/>
        <v>0.15419210444555878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287.29865338866551</v>
      </c>
      <c r="BJ180" s="62">
        <f t="shared" si="146"/>
        <v>217.57508587672368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0.18601124244508196</v>
      </c>
      <c r="BR180" s="23">
        <f>EXP(-LN(2)/2)*BR179+(1-EXP(-LN(2)/2))/(LN(2)/2)*BL180*BO180*VLOOKUP('Données projet'!$B$11,Paramètres!$A$1:$I$89,3,0)*0.475*44/12</f>
        <v>9.6326351752087378E-22</v>
      </c>
      <c r="BS180" s="24">
        <f t="shared" si="169"/>
        <v>0.18601124244508196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-1.9065282685915009E-13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302.20483575440988</v>
      </c>
      <c r="T181" s="62">
        <f t="shared" si="142"/>
        <v>275.32862097158687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0.36779970452914534</v>
      </c>
      <c r="AB181" s="23">
        <f>EXP(-LN(2)/2)*AB180+(1-EXP(-LN(2)/2))/(LN(2)/2)*V181*Y181*VLOOKUP('Données projet'!$B$9,Paramètres!$A$1:$I$89,3,0)*0.475*44/12</f>
        <v>5.8274707615429902E-22</v>
      </c>
      <c r="AC181" s="24">
        <f t="shared" si="163"/>
        <v>0.36779970452914534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175.05987582828078</v>
      </c>
      <c r="AO181" s="62">
        <f t="shared" si="144"/>
        <v>268.54782308462387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0.1499757132408846</v>
      </c>
      <c r="AW181" s="23">
        <f>EXP(-LN(2)/2)*AW180+(1-EXP(-LN(2)/2))/(LN(2)/2)*AQ181*AT181*VLOOKUP('Données projet'!$B$10,Paramètres!$A$1:$I$89,3,0)*0.475*44/12</f>
        <v>6.6963049387273298E-22</v>
      </c>
      <c r="AX181" s="23">
        <f t="shared" si="166"/>
        <v>0.1499757132408846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287.29865338866551</v>
      </c>
      <c r="BJ181" s="62">
        <f t="shared" si="146"/>
        <v>217.57508587672368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0.18092475523851509</v>
      </c>
      <c r="BR181" s="23">
        <f>EXP(-LN(2)/2)*BR180+(1-EXP(-LN(2)/2))/(LN(2)/2)*BL181*BO181*VLOOKUP('Données projet'!$B$11,Paramètres!$A$1:$I$89,3,0)*0.475*44/12</f>
        <v>6.811301653086166E-22</v>
      </c>
      <c r="BS181" s="24">
        <f t="shared" si="169"/>
        <v>0.18092475523851509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-1.9065282685915009E-13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302.20483575440988</v>
      </c>
      <c r="T182" s="62">
        <f t="shared" si="142"/>
        <v>275.32862097158687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0.35774220226705</v>
      </c>
      <c r="AB182" s="23">
        <f>EXP(-LN(2)/2)*AB181+(1-EXP(-LN(2)/2))/(LN(2)/2)*V182*Y182*VLOOKUP('Données projet'!$B$9,Paramètres!$A$1:$I$89,3,0)*0.475*44/12</f>
        <v>4.1206440926533829E-22</v>
      </c>
      <c r="AC182" s="24">
        <f t="shared" si="163"/>
        <v>0.35774220226705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175.05987582828078</v>
      </c>
      <c r="AO182" s="62">
        <f t="shared" si="144"/>
        <v>268.54782308462387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0.14587461947543262</v>
      </c>
      <c r="AW182" s="23">
        <f>EXP(-LN(2)/2)*AW181+(1-EXP(-LN(2)/2))/(LN(2)/2)*AQ182*AT182*VLOOKUP('Données projet'!$B$10,Paramètres!$A$1:$I$89,3,0)*0.475*44/12</f>
        <v>4.7350026310670635E-22</v>
      </c>
      <c r="AX182" s="23">
        <f t="shared" si="166"/>
        <v>0.14587461947543262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287.29865338866551</v>
      </c>
      <c r="BJ182" s="62">
        <f t="shared" si="146"/>
        <v>217.57508587672368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0.17597735829209851</v>
      </c>
      <c r="BR182" s="23">
        <f>EXP(-LN(2)/2)*BR181+(1-EXP(-LN(2)/2))/(LN(2)/2)*BL182*BO182*VLOOKUP('Données projet'!$B$11,Paramètres!$A$1:$I$89,3,0)*0.475*44/12</f>
        <v>4.8163175876043689E-22</v>
      </c>
      <c r="BS182" s="24">
        <f t="shared" si="169"/>
        <v>0.17597735829209851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-1.9065282685915009E-13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302.20483575440988</v>
      </c>
      <c r="T183" s="62">
        <f t="shared" si="142"/>
        <v>275.32862097158687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0.34795972293321276</v>
      </c>
      <c r="AB183" s="23">
        <f>EXP(-LN(2)/2)*AB182+(1-EXP(-LN(2)/2))/(LN(2)/2)*V183*Y183*VLOOKUP('Données projet'!$B$9,Paramètres!$A$1:$I$89,3,0)*0.475*44/12</f>
        <v>2.9137353807714956E-22</v>
      </c>
      <c r="AC183" s="24">
        <f t="shared" si="163"/>
        <v>0.34795972293321276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175.05987582828078</v>
      </c>
      <c r="AO183" s="62">
        <f t="shared" si="144"/>
        <v>268.54782308462387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0.14188567033466407</v>
      </c>
      <c r="AW183" s="23">
        <f>EXP(-LN(2)/2)*AW182+(1-EXP(-LN(2)/2))/(LN(2)/2)*AQ183*AT183*VLOOKUP('Données projet'!$B$10,Paramètres!$A$1:$I$89,3,0)*0.475*44/12</f>
        <v>3.3481524693636649E-22</v>
      </c>
      <c r="AX183" s="23">
        <f t="shared" si="166"/>
        <v>0.14188567033466407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287.29865338866551</v>
      </c>
      <c r="BJ183" s="62">
        <f t="shared" si="146"/>
        <v>217.57508587672368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0.171165248175354</v>
      </c>
      <c r="BR183" s="23">
        <f>EXP(-LN(2)/2)*BR182+(1-EXP(-LN(2)/2))/(LN(2)/2)*BL183*BO183*VLOOKUP('Données projet'!$B$11,Paramètres!$A$1:$I$89,3,0)*0.475*44/12</f>
        <v>3.405650826543083E-22</v>
      </c>
      <c r="BS183" s="24">
        <f t="shared" si="169"/>
        <v>0.171165248175354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-1.9065282685915009E-13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302.20483575440988</v>
      </c>
      <c r="T184" s="62">
        <f t="shared" si="142"/>
        <v>275.32862097158687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0.33844474601119751</v>
      </c>
      <c r="AB184" s="23">
        <f>EXP(-LN(2)/2)*AB183+(1-EXP(-LN(2)/2))/(LN(2)/2)*V184*Y184*VLOOKUP('Données projet'!$B$9,Paramètres!$A$1:$I$89,3,0)*0.475*44/12</f>
        <v>2.0603220463266917E-22</v>
      </c>
      <c r="AC184" s="24">
        <f t="shared" si="163"/>
        <v>0.33844474601119751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175.05987582828078</v>
      </c>
      <c r="AO184" s="62">
        <f t="shared" si="144"/>
        <v>268.54782308462387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0.13800579921791956</v>
      </c>
      <c r="AW184" s="23">
        <f>EXP(-LN(2)/2)*AW183+(1-EXP(-LN(2)/2))/(LN(2)/2)*AQ184*AT184*VLOOKUP('Données projet'!$B$10,Paramètres!$A$1:$I$89,3,0)*0.475*44/12</f>
        <v>2.3675013155335317E-22</v>
      </c>
      <c r="AX184" s="23">
        <f t="shared" si="166"/>
        <v>0.13800579921791956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287.29865338866551</v>
      </c>
      <c r="BJ184" s="62">
        <f t="shared" si="146"/>
        <v>217.57508587672368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0.16648472546280974</v>
      </c>
      <c r="BR184" s="23">
        <f>EXP(-LN(2)/2)*BR183+(1-EXP(-LN(2)/2))/(LN(2)/2)*BL184*BO184*VLOOKUP('Données projet'!$B$11,Paramètres!$A$1:$I$89,3,0)*0.475*44/12</f>
        <v>2.4081587938021845E-22</v>
      </c>
      <c r="BS184" s="24">
        <f t="shared" si="169"/>
        <v>0.16648472546280974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-1.9065282685915009E-13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302.20483575440988</v>
      </c>
      <c r="T185" s="62">
        <f t="shared" si="142"/>
        <v>275.32862097158687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0.32918995663348566</v>
      </c>
      <c r="AB185" s="23">
        <f>EXP(-LN(2)/2)*AB184+(1-EXP(-LN(2)/2))/(LN(2)/2)*V185*Y185*VLOOKUP('Données projet'!$B$9,Paramètres!$A$1:$I$89,3,0)*0.475*44/12</f>
        <v>1.456867690385748E-22</v>
      </c>
      <c r="AC185" s="24">
        <f t="shared" si="163"/>
        <v>0.32918995663348566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175.05987582828078</v>
      </c>
      <c r="AO185" s="62">
        <f t="shared" si="144"/>
        <v>268.54782308462387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0.13423202338089599</v>
      </c>
      <c r="AW185" s="23">
        <f>EXP(-LN(2)/2)*AW184+(1-EXP(-LN(2)/2))/(LN(2)/2)*AQ185*AT185*VLOOKUP('Données projet'!$B$10,Paramètres!$A$1:$I$89,3,0)*0.475*44/12</f>
        <v>1.6740762346818325E-22</v>
      </c>
      <c r="AX185" s="23">
        <f t="shared" si="166"/>
        <v>0.13423202338089599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287.29865338866551</v>
      </c>
      <c r="BJ185" s="62">
        <f t="shared" si="146"/>
        <v>217.57508587672368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0.16193219188997798</v>
      </c>
      <c r="BR185" s="23">
        <f>EXP(-LN(2)/2)*BR184+(1-EXP(-LN(2)/2))/(LN(2)/2)*BL185*BO185*VLOOKUP('Données projet'!$B$11,Paramètres!$A$1:$I$89,3,0)*0.475*44/12</f>
        <v>1.7028254132715415E-22</v>
      </c>
      <c r="BS185" s="24">
        <f t="shared" si="169"/>
        <v>0.16193219188997798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-1.9065282685915009E-13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302.20483575440988</v>
      </c>
      <c r="T186" s="62">
        <f t="shared" si="142"/>
        <v>275.32862097158687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0.32018823995799556</v>
      </c>
      <c r="AB186" s="23">
        <f>EXP(-LN(2)/2)*AB185+(1-EXP(-LN(2)/2))/(LN(2)/2)*V186*Y186*VLOOKUP('Données projet'!$B$9,Paramètres!$A$1:$I$89,3,0)*0.475*44/12</f>
        <v>1.0301610231633461E-22</v>
      </c>
      <c r="AC186" s="24">
        <f t="shared" si="163"/>
        <v>0.32018823995799556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175.05987582828078</v>
      </c>
      <c r="AO186" s="62">
        <f t="shared" si="144"/>
        <v>268.54782308462387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0.13056144164259006</v>
      </c>
      <c r="AW186" s="23">
        <f>EXP(-LN(2)/2)*AW185+(1-EXP(-LN(2)/2))/(LN(2)/2)*AQ186*AT186*VLOOKUP('Données projet'!$B$10,Paramètres!$A$1:$I$89,3,0)*0.475*44/12</f>
        <v>1.1837506577667659E-22</v>
      </c>
      <c r="AX186" s="23">
        <f t="shared" si="166"/>
        <v>0.13056144164259006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287.29865338866551</v>
      </c>
      <c r="BJ186" s="62">
        <f t="shared" si="146"/>
        <v>217.57508587672368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0.15750414758710266</v>
      </c>
      <c r="BR186" s="23">
        <f>EXP(-LN(2)/2)*BR185+(1-EXP(-LN(2)/2))/(LN(2)/2)*BL186*BO186*VLOOKUP('Données projet'!$B$11,Paramètres!$A$1:$I$89,3,0)*0.475*44/12</f>
        <v>1.2040793969010922E-22</v>
      </c>
      <c r="BS186" s="24">
        <f t="shared" si="169"/>
        <v>0.15750414758710266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-1.9065282685915009E-13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302.20483575440988</v>
      </c>
      <c r="T187" s="62">
        <f t="shared" si="142"/>
        <v>275.32862097158687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0.3114326756983764</v>
      </c>
      <c r="AB187" s="23">
        <f>EXP(-LN(2)/2)*AB186+(1-EXP(-LN(2)/2))/(LN(2)/2)*V187*Y187*VLOOKUP('Données projet'!$B$9,Paramètres!$A$1:$I$89,3,0)*0.475*44/12</f>
        <v>7.2843384519287413E-23</v>
      </c>
      <c r="AC187" s="24">
        <f t="shared" si="163"/>
        <v>0.3114326756983764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175.05987582828078</v>
      </c>
      <c r="AO187" s="62">
        <f t="shared" si="144"/>
        <v>268.54782308462387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0.12699123215494562</v>
      </c>
      <c r="AW187" s="23">
        <f>EXP(-LN(2)/2)*AW186+(1-EXP(-LN(2)/2))/(LN(2)/2)*AQ187*AT187*VLOOKUP('Données projet'!$B$10,Paramètres!$A$1:$I$89,3,0)*0.475*44/12</f>
        <v>8.3703811734091623E-23</v>
      </c>
      <c r="AX187" s="23">
        <f t="shared" si="166"/>
        <v>0.12699123215494562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287.29865338866551</v>
      </c>
      <c r="BJ187" s="62">
        <f t="shared" si="146"/>
        <v>217.57508587672368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0.1531971883885502</v>
      </c>
      <c r="BR187" s="23">
        <f>EXP(-LN(2)/2)*BR186+(1-EXP(-LN(2)/2))/(LN(2)/2)*BL187*BO187*VLOOKUP('Données projet'!$B$11,Paramètres!$A$1:$I$89,3,0)*0.475*44/12</f>
        <v>8.5141270663577075E-23</v>
      </c>
      <c r="BS187" s="24">
        <f t="shared" si="169"/>
        <v>0.1531971883885502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-1.9065282685915009E-13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302.20483575440988</v>
      </c>
      <c r="T188" s="62">
        <f t="shared" si="142"/>
        <v>275.32862097158687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0.30291653280387165</v>
      </c>
      <c r="AB188" s="23">
        <f>EXP(-LN(2)/2)*AB187+(1-EXP(-LN(2)/2))/(LN(2)/2)*V188*Y188*VLOOKUP('Données projet'!$B$9,Paramètres!$A$1:$I$89,3,0)*0.475*44/12</f>
        <v>5.150805115816731E-23</v>
      </c>
      <c r="AC188" s="24">
        <f t="shared" si="163"/>
        <v>0.30291653280387165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175.05987582828078</v>
      </c>
      <c r="AO188" s="62">
        <f t="shared" si="144"/>
        <v>268.54782308462387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0.12351865023348997</v>
      </c>
      <c r="AW188" s="23">
        <f>EXP(-LN(2)/2)*AW187+(1-EXP(-LN(2)/2))/(LN(2)/2)*AQ188*AT188*VLOOKUP('Données projet'!$B$10,Paramètres!$A$1:$I$89,3,0)*0.475*44/12</f>
        <v>5.9187532888338294E-23</v>
      </c>
      <c r="AX188" s="23">
        <f t="shared" si="166"/>
        <v>0.12351865023348997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287.29865338866551</v>
      </c>
      <c r="BJ188" s="62">
        <f t="shared" si="146"/>
        <v>217.57508587672368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0.14900800321577529</v>
      </c>
      <c r="BR188" s="23">
        <f>EXP(-LN(2)/2)*BR187+(1-EXP(-LN(2)/2))/(LN(2)/2)*BL188*BO188*VLOOKUP('Données projet'!$B$11,Paramètres!$A$1:$I$89,3,0)*0.475*44/12</f>
        <v>6.0203969845054611E-23</v>
      </c>
      <c r="BS188" s="24">
        <f t="shared" si="169"/>
        <v>0.14900800321577529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-1.9065282685915009E-13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302.20483575440988</v>
      </c>
      <c r="T189" s="62">
        <f t="shared" si="142"/>
        <v>275.32862097158687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0.29463326428466163</v>
      </c>
      <c r="AB189" s="23">
        <f>EXP(-LN(2)/2)*AB188+(1-EXP(-LN(2)/2))/(LN(2)/2)*V189*Y189*VLOOKUP('Données projet'!$B$9,Paramètres!$A$1:$I$89,3,0)*0.475*44/12</f>
        <v>3.6421692259643712E-23</v>
      </c>
      <c r="AC189" s="24">
        <f t="shared" si="163"/>
        <v>0.29463326428466163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175.05987582828078</v>
      </c>
      <c r="AO189" s="62">
        <f t="shared" si="144"/>
        <v>268.54782308462387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0.12014102624729167</v>
      </c>
      <c r="AW189" s="23">
        <f>EXP(-LN(2)/2)*AW188+(1-EXP(-LN(2)/2))/(LN(2)/2)*AQ189*AT189*VLOOKUP('Données projet'!$B$10,Paramètres!$A$1:$I$89,3,0)*0.475*44/12</f>
        <v>4.1851905867045811E-23</v>
      </c>
      <c r="AX189" s="23">
        <f t="shared" si="166"/>
        <v>0.12014102624729167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287.29865338866551</v>
      </c>
      <c r="BJ189" s="62">
        <f t="shared" si="146"/>
        <v>217.57508587672368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0.1449333715318496</v>
      </c>
      <c r="BR189" s="23">
        <f>EXP(-LN(2)/2)*BR188+(1-EXP(-LN(2)/2))/(LN(2)/2)*BL189*BO189*VLOOKUP('Données projet'!$B$11,Paramètres!$A$1:$I$89,3,0)*0.475*44/12</f>
        <v>4.2570635331788537E-23</v>
      </c>
      <c r="BS189" s="24">
        <f t="shared" si="169"/>
        <v>0.1449333715318496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-1.9065282685915009E-13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302.20483575440988</v>
      </c>
      <c r="T190" s="62">
        <f t="shared" si="142"/>
        <v>275.32862097158687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0.28657650217870756</v>
      </c>
      <c r="AB190" s="23">
        <f>EXP(-LN(2)/2)*AB189+(1-EXP(-LN(2)/2))/(LN(2)/2)*V190*Y190*VLOOKUP('Données projet'!$B$9,Paramètres!$A$1:$I$89,3,0)*0.475*44/12</f>
        <v>2.5754025579083661E-23</v>
      </c>
      <c r="AC190" s="24">
        <f t="shared" si="163"/>
        <v>0.28657650217870756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175.05987582828078</v>
      </c>
      <c r="AO190" s="62">
        <f t="shared" si="144"/>
        <v>268.54782308462387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0.11685576356661749</v>
      </c>
      <c r="AW190" s="23">
        <f>EXP(-LN(2)/2)*AW189+(1-EXP(-LN(2)/2))/(LN(2)/2)*AQ190*AT190*VLOOKUP('Données projet'!$B$10,Paramètres!$A$1:$I$89,3,0)*0.475*44/12</f>
        <v>2.9593766444169147E-23</v>
      </c>
      <c r="AX190" s="23">
        <f t="shared" si="166"/>
        <v>0.11685576356661749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287.29865338866551</v>
      </c>
      <c r="BJ190" s="62">
        <f t="shared" si="146"/>
        <v>217.57508587672368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0.14097016086559641</v>
      </c>
      <c r="BR190" s="23">
        <f>EXP(-LN(2)/2)*BR189+(1-EXP(-LN(2)/2))/(LN(2)/2)*BL190*BO190*VLOOKUP('Données projet'!$B$11,Paramètres!$A$1:$I$89,3,0)*0.475*44/12</f>
        <v>3.0101984922527306E-23</v>
      </c>
      <c r="BS190" s="24">
        <f t="shared" si="169"/>
        <v>0.14097016086559641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-1.9065282685915009E-13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302.20483575440988</v>
      </c>
      <c r="T191" s="62">
        <f t="shared" si="142"/>
        <v>275.32862097158687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0.27874005265622753</v>
      </c>
      <c r="AB191" s="23">
        <f>EXP(-LN(2)/2)*AB190+(1-EXP(-LN(2)/2))/(LN(2)/2)*V191*Y191*VLOOKUP('Données projet'!$B$9,Paramètres!$A$1:$I$89,3,0)*0.475*44/12</f>
        <v>1.8210846129821859E-23</v>
      </c>
      <c r="AC191" s="24">
        <f t="shared" si="163"/>
        <v>0.27874005265622753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175.05987582828078</v>
      </c>
      <c r="AO191" s="62">
        <f t="shared" si="144"/>
        <v>268.54782308462387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0.1136603365667108</v>
      </c>
      <c r="AW191" s="23">
        <f>EXP(-LN(2)/2)*AW190+(1-EXP(-LN(2)/2))/(LN(2)/2)*AQ191*AT191*VLOOKUP('Données projet'!$B$10,Paramètres!$A$1:$I$89,3,0)*0.475*44/12</f>
        <v>2.0925952933522906E-23</v>
      </c>
      <c r="AX191" s="23">
        <f t="shared" si="166"/>
        <v>0.1136603365667108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287.29865338866551</v>
      </c>
      <c r="BJ191" s="62">
        <f t="shared" si="146"/>
        <v>217.57508587672368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0.13711532440342811</v>
      </c>
      <c r="BR191" s="23">
        <f>EXP(-LN(2)/2)*BR190+(1-EXP(-LN(2)/2))/(LN(2)/2)*BL191*BO191*VLOOKUP('Données projet'!$B$11,Paramètres!$A$1:$I$89,3,0)*0.475*44/12</f>
        <v>2.1285317665894269E-23</v>
      </c>
      <c r="BS191" s="24">
        <f t="shared" si="169"/>
        <v>0.13711532440342811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-1.9065282685915009E-13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302.20483575440988</v>
      </c>
      <c r="T192" s="62">
        <f t="shared" si="142"/>
        <v>275.32862097158687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0.2711178912580407</v>
      </c>
      <c r="AB192" s="23">
        <f>EXP(-LN(2)/2)*AB191+(1-EXP(-LN(2)/2))/(LN(2)/2)*V192*Y192*VLOOKUP('Données projet'!$B$9,Paramètres!$A$1:$I$89,3,0)*0.475*44/12</f>
        <v>1.2877012789541832E-23</v>
      </c>
      <c r="AC192" s="24">
        <f t="shared" si="163"/>
        <v>0.2711178912580407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175.05987582828078</v>
      </c>
      <c r="AO192" s="62">
        <f t="shared" si="144"/>
        <v>268.54782308462387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0.11055228868615677</v>
      </c>
      <c r="AW192" s="23">
        <f>EXP(-LN(2)/2)*AW191+(1-EXP(-LN(2)/2))/(LN(2)/2)*AQ192*AT192*VLOOKUP('Données projet'!$B$10,Paramètres!$A$1:$I$89,3,0)*0.475*44/12</f>
        <v>1.4796883222084573E-23</v>
      </c>
      <c r="AX192" s="23">
        <f t="shared" si="166"/>
        <v>0.11055228868615677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287.29865338866551</v>
      </c>
      <c r="BJ192" s="62">
        <f t="shared" si="146"/>
        <v>217.57508587672368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0.13336589864703483</v>
      </c>
      <c r="BR192" s="23">
        <f>EXP(-LN(2)/2)*BR191+(1-EXP(-LN(2)/2))/(LN(2)/2)*BL192*BO192*VLOOKUP('Données projet'!$B$11,Paramètres!$A$1:$I$89,3,0)*0.475*44/12</f>
        <v>1.5050992461263653E-23</v>
      </c>
      <c r="BS192" s="24">
        <f t="shared" si="169"/>
        <v>0.13336589864703483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-1.9065282685915009E-13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302.20483575440988</v>
      </c>
      <c r="T193" s="62">
        <f t="shared" si="142"/>
        <v>275.32862097158687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0.2637041582641193</v>
      </c>
      <c r="AB193" s="23">
        <f>EXP(-LN(2)/2)*AB192+(1-EXP(-LN(2)/2))/(LN(2)/2)*V193*Y193*VLOOKUP('Données projet'!$B$9,Paramètres!$A$1:$I$89,3,0)*0.475*44/12</f>
        <v>9.105423064910931E-24</v>
      </c>
      <c r="AC193" s="24">
        <f t="shared" si="163"/>
        <v>0.2637041582641193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175.05987582828078</v>
      </c>
      <c r="AO193" s="62">
        <f t="shared" si="144"/>
        <v>268.54782308462387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0.10752923053834162</v>
      </c>
      <c r="AW193" s="23">
        <f>EXP(-LN(2)/2)*AW192+(1-EXP(-LN(2)/2))/(LN(2)/2)*AQ193*AT193*VLOOKUP('Données projet'!$B$10,Paramètres!$A$1:$I$89,3,0)*0.475*44/12</f>
        <v>1.0462976466761453E-23</v>
      </c>
      <c r="AX193" s="23">
        <f t="shared" si="166"/>
        <v>0.10752923053834162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287.29865338866551</v>
      </c>
      <c r="BJ193" s="62">
        <f t="shared" si="146"/>
        <v>217.57508587672368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0.12971900113512386</v>
      </c>
      <c r="BR193" s="23">
        <f>EXP(-LN(2)/2)*BR192+(1-EXP(-LN(2)/2))/(LN(2)/2)*BL193*BO193*VLOOKUP('Données projet'!$B$11,Paramètres!$A$1:$I$89,3,0)*0.475*44/12</f>
        <v>1.0642658832947134E-23</v>
      </c>
      <c r="BS193" s="24">
        <f t="shared" si="169"/>
        <v>0.12971900113512386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-1.9065282685915009E-13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302.20483575440988</v>
      </c>
      <c r="T194" s="62">
        <f t="shared" si="142"/>
        <v>275.32862097158687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0.25649315418878799</v>
      </c>
      <c r="AB194" s="23">
        <f>EXP(-LN(2)/2)*AB193+(1-EXP(-LN(2)/2))/(LN(2)/2)*V194*Y194*VLOOKUP('Données projet'!$B$9,Paramètres!$A$1:$I$89,3,0)*0.475*44/12</f>
        <v>6.4385063947709167E-24</v>
      </c>
      <c r="AC194" s="24">
        <f t="shared" si="163"/>
        <v>0.25649315418878799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175.05987582828078</v>
      </c>
      <c r="AO194" s="62">
        <f t="shared" si="144"/>
        <v>268.54782308462387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0.1045888380745542</v>
      </c>
      <c r="AW194" s="23">
        <f>EXP(-LN(2)/2)*AW193+(1-EXP(-LN(2)/2))/(LN(2)/2)*AQ194*AT194*VLOOKUP('Données projet'!$B$10,Paramètres!$A$1:$I$89,3,0)*0.475*44/12</f>
        <v>7.3984416110422867E-24</v>
      </c>
      <c r="AX194" s="23">
        <f t="shared" si="166"/>
        <v>0.1045888380745542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287.29865338866551</v>
      </c>
      <c r="BJ194" s="62">
        <f t="shared" si="146"/>
        <v>217.57508587672368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0.12617182822745809</v>
      </c>
      <c r="BR194" s="23">
        <f>EXP(-LN(2)/2)*BR193+(1-EXP(-LN(2)/2))/(LN(2)/2)*BL194*BO194*VLOOKUP('Données projet'!$B$11,Paramètres!$A$1:$I$89,3,0)*0.475*44/12</f>
        <v>7.5254962306318264E-24</v>
      </c>
      <c r="BS194" s="24">
        <f t="shared" si="169"/>
        <v>0.12617182822745809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-1.9065282685915009E-13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302.20483575440988</v>
      </c>
      <c r="T195" s="62">
        <f t="shared" si="142"/>
        <v>275.32862097158687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0.24947933539910683</v>
      </c>
      <c r="AB195" s="23">
        <f>EXP(-LN(2)/2)*AB194+(1-EXP(-LN(2)/2))/(LN(2)/2)*V195*Y195*VLOOKUP('Données projet'!$B$9,Paramètres!$A$1:$I$89,3,0)*0.475*44/12</f>
        <v>4.5527115324554662E-24</v>
      </c>
      <c r="AC195" s="24">
        <f t="shared" si="163"/>
        <v>0.24947933539910683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175.05987582828078</v>
      </c>
      <c r="AO195" s="62">
        <f t="shared" si="144"/>
        <v>268.54782308462387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0.10172885079731755</v>
      </c>
      <c r="AW195" s="23">
        <f>EXP(-LN(2)/2)*AW194+(1-EXP(-LN(2)/2))/(LN(2)/2)*AQ195*AT195*VLOOKUP('Données projet'!$B$10,Paramètres!$A$1:$I$89,3,0)*0.475*44/12</f>
        <v>5.2314882333807264E-24</v>
      </c>
      <c r="AX195" s="23">
        <f t="shared" si="166"/>
        <v>0.10172885079731755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287.29865338866551</v>
      </c>
      <c r="BJ195" s="62">
        <f t="shared" si="146"/>
        <v>217.57508587672368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0.12272165294949018</v>
      </c>
      <c r="BR195" s="23">
        <f>EXP(-LN(2)/2)*BR194+(1-EXP(-LN(2)/2))/(LN(2)/2)*BL195*BO195*VLOOKUP('Données projet'!$B$11,Paramètres!$A$1:$I$89,3,0)*0.475*44/12</f>
        <v>5.3213294164735672E-24</v>
      </c>
      <c r="BS195" s="24">
        <f t="shared" si="169"/>
        <v>0.12272165294949018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-1.9065282685915009E-13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302.20483575440988</v>
      </c>
      <c r="T196" s="62">
        <f t="shared" si="142"/>
        <v>275.32862097158687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0.24265730985307019</v>
      </c>
      <c r="AB196" s="23">
        <f>EXP(-LN(2)/2)*AB195+(1-EXP(-LN(2)/2))/(LN(2)/2)*V196*Y196*VLOOKUP('Données projet'!$B$9,Paramètres!$A$1:$I$89,3,0)*0.475*44/12</f>
        <v>3.2192531973854591E-24</v>
      </c>
      <c r="AC196" s="24">
        <f t="shared" si="163"/>
        <v>0.24265730985307019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175.05987582828078</v>
      </c>
      <c r="AO196" s="62">
        <f t="shared" si="144"/>
        <v>268.54782308462387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9.8947070022577147E-2</v>
      </c>
      <c r="AW196" s="23">
        <f>EXP(-LN(2)/2)*AW195+(1-EXP(-LN(2)/2))/(LN(2)/2)*AQ196*AT196*VLOOKUP('Données projet'!$B$10,Paramètres!$A$1:$I$89,3,0)*0.475*44/12</f>
        <v>3.6992208055211434E-24</v>
      </c>
      <c r="AX196" s="23">
        <f t="shared" si="166"/>
        <v>9.8947070022577147E-2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287.29865338866551</v>
      </c>
      <c r="BJ196" s="62">
        <f t="shared" si="146"/>
        <v>217.57508587672368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0.11936582289593513</v>
      </c>
      <c r="BR196" s="23">
        <f>EXP(-LN(2)/2)*BR195+(1-EXP(-LN(2)/2))/(LN(2)/2)*BL196*BO196*VLOOKUP('Données projet'!$B$11,Paramètres!$A$1:$I$89,3,0)*0.475*44/12</f>
        <v>3.7627481153159132E-24</v>
      </c>
      <c r="BS196" s="24">
        <f t="shared" si="169"/>
        <v>0.11936582289593513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-1.9065282685915009E-13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302.20483575440988</v>
      </c>
      <c r="T197" s="62">
        <f t="shared" ref="T197:T203" si="204">$T$3</f>
        <v>275.32862097158687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0.23602183295434465</v>
      </c>
      <c r="AB197" s="23">
        <f>EXP(-LN(2)/2)*AB196+(1-EXP(-LN(2)/2))/(LN(2)/2)*V197*Y197*VLOOKUP('Données projet'!$B$9,Paramètres!$A$1:$I$89,3,0)*0.475*44/12</f>
        <v>2.2763557662277335E-24</v>
      </c>
      <c r="AC197" s="24">
        <f t="shared" si="163"/>
        <v>0.23602183295434465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175.05987582828078</v>
      </c>
      <c r="AO197" s="62">
        <f t="shared" ref="AO197:AO203" si="205">$AO$3</f>
        <v>268.54782308462387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9.6241357189409515E-2</v>
      </c>
      <c r="AW197" s="23">
        <f>EXP(-LN(2)/2)*AW196+(1-EXP(-LN(2)/2))/(LN(2)/2)*AQ197*AT197*VLOOKUP('Données projet'!$B$10,Paramètres!$A$1:$I$89,3,0)*0.475*44/12</f>
        <v>2.6157441166903632E-24</v>
      </c>
      <c r="AX197" s="23">
        <f t="shared" si="166"/>
        <v>9.6241357189409515E-2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287.29865338866551</v>
      </c>
      <c r="BJ197" s="62">
        <f t="shared" ref="BJ197:BJ203" si="206">$BJ$3</f>
        <v>217.57508587672368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0.11610175819166997</v>
      </c>
      <c r="BR197" s="23">
        <f>EXP(-LN(2)/2)*BR196+(1-EXP(-LN(2)/2))/(LN(2)/2)*BL197*BO197*VLOOKUP('Données projet'!$B$11,Paramètres!$A$1:$I$89,3,0)*0.475*44/12</f>
        <v>2.6606647082367836E-24</v>
      </c>
      <c r="BS197" s="24">
        <f t="shared" si="169"/>
        <v>0.11610175819166997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-1.9065282685915009E-13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302.20483575440988</v>
      </c>
      <c r="T198" s="62">
        <f t="shared" si="204"/>
        <v>275.32862097158687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0.22956780352035933</v>
      </c>
      <c r="AB198" s="23">
        <f>EXP(-LN(2)/2)*AB197+(1-EXP(-LN(2)/2))/(LN(2)/2)*V198*Y198*VLOOKUP('Données projet'!$B$9,Paramètres!$A$1:$I$89,3,0)*0.475*44/12</f>
        <v>1.6096265986927297E-24</v>
      </c>
      <c r="AC198" s="24">
        <f t="shared" si="163"/>
        <v>0.22956780352035933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175.05987582828078</v>
      </c>
      <c r="AO198" s="62">
        <f t="shared" si="205"/>
        <v>268.54782308462387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9.3609632215952102E-2</v>
      </c>
      <c r="AW198" s="23">
        <f>EXP(-LN(2)/2)*AW197+(1-EXP(-LN(2)/2))/(LN(2)/2)*AQ198*AT198*VLOOKUP('Données projet'!$B$10,Paramètres!$A$1:$I$89,3,0)*0.475*44/12</f>
        <v>1.8496104027605717E-24</v>
      </c>
      <c r="AX198" s="23">
        <f t="shared" si="166"/>
        <v>9.3609632215952102E-2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287.29865338866551</v>
      </c>
      <c r="BJ198" s="62">
        <f t="shared" si="206"/>
        <v>217.57508587672368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0.11292694950839265</v>
      </c>
      <c r="BR198" s="23">
        <f>EXP(-LN(2)/2)*BR197+(1-EXP(-LN(2)/2))/(LN(2)/2)*BL198*BO198*VLOOKUP('Données projet'!$B$11,Paramètres!$A$1:$I$89,3,0)*0.475*44/12</f>
        <v>1.8813740576579566E-24</v>
      </c>
      <c r="BS198" s="24">
        <f t="shared" si="169"/>
        <v>0.11292694950839265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-1.9065282685915009E-13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302.20483575440988</v>
      </c>
      <c r="T199" s="62">
        <f t="shared" si="204"/>
        <v>275.32862097158687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0.22329025986064899</v>
      </c>
      <c r="AB199" s="23">
        <f>EXP(-LN(2)/2)*AB198+(1-EXP(-LN(2)/2))/(LN(2)/2)*V199*Y199*VLOOKUP('Données projet'!$B$9,Paramètres!$A$1:$I$89,3,0)*0.475*44/12</f>
        <v>1.1381778831138669E-24</v>
      </c>
      <c r="AC199" s="24">
        <f t="shared" si="163"/>
        <v>0.22329025986064899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175.05987582828078</v>
      </c>
      <c r="AO199" s="62">
        <f t="shared" si="205"/>
        <v>268.54782308462387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9.1049871900290277E-2</v>
      </c>
      <c r="AW199" s="23">
        <f>EXP(-LN(2)/2)*AW198+(1-EXP(-LN(2)/2))/(LN(2)/2)*AQ199*AT199*VLOOKUP('Données projet'!$B$10,Paramètres!$A$1:$I$89,3,0)*0.475*44/12</f>
        <v>1.3078720583451816E-24</v>
      </c>
      <c r="AX199" s="23">
        <f t="shared" si="166"/>
        <v>9.1049871900290277E-2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287.29865338866551</v>
      </c>
      <c r="BJ199" s="62">
        <f t="shared" si="206"/>
        <v>217.57508587672368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0.10983895613551548</v>
      </c>
      <c r="BR199" s="23">
        <f>EXP(-LN(2)/2)*BR198+(1-EXP(-LN(2)/2))/(LN(2)/2)*BL199*BO199*VLOOKUP('Données projet'!$B$11,Paramètres!$A$1:$I$89,3,0)*0.475*44/12</f>
        <v>1.3303323541183918E-24</v>
      </c>
      <c r="BS199" s="24">
        <f t="shared" si="169"/>
        <v>0.10983895613551548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-1.9065282685915009E-13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302.20483575440988</v>
      </c>
      <c r="T200" s="62">
        <f t="shared" si="204"/>
        <v>275.32862097158687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0.21718437596243512</v>
      </c>
      <c r="AB200" s="23">
        <f>EXP(-LN(2)/2)*AB199+(1-EXP(-LN(2)/2))/(LN(2)/2)*V200*Y200*VLOOKUP('Données projet'!$B$9,Paramètres!$A$1:$I$89,3,0)*0.475*44/12</f>
        <v>8.0481329934636505E-25</v>
      </c>
      <c r="AC200" s="24">
        <f t="shared" si="163"/>
        <v>0.21718437596243512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175.05987582828078</v>
      </c>
      <c r="AO200" s="62">
        <f t="shared" si="205"/>
        <v>268.54782308462387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8.8560108365072179E-2</v>
      </c>
      <c r="AW200" s="23">
        <f>EXP(-LN(2)/2)*AW199+(1-EXP(-LN(2)/2))/(LN(2)/2)*AQ200*AT200*VLOOKUP('Données projet'!$B$10,Paramètres!$A$1:$I$89,3,0)*0.475*44/12</f>
        <v>9.2480520138028584E-25</v>
      </c>
      <c r="AX200" s="23">
        <f t="shared" si="166"/>
        <v>8.8560108365072179E-2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287.29865338866551</v>
      </c>
      <c r="BJ200" s="62">
        <f t="shared" si="206"/>
        <v>217.57508587672368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0.10683540410381014</v>
      </c>
      <c r="BR200" s="23">
        <f>EXP(-LN(2)/2)*BR199+(1-EXP(-LN(2)/2))/(LN(2)/2)*BL200*BO200*VLOOKUP('Données projet'!$B$11,Paramètres!$A$1:$I$89,3,0)*0.475*44/12</f>
        <v>9.406870288289783E-25</v>
      </c>
      <c r="BS200" s="24">
        <f t="shared" si="169"/>
        <v>0.10683540410381014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-1.9065282685915009E-13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302.20483575440988</v>
      </c>
      <c r="T201" s="62">
        <f t="shared" si="204"/>
        <v>275.32862097158687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0.21124545778051237</v>
      </c>
      <c r="AB201" s="23">
        <f>EXP(-LN(2)/2)*AB200+(1-EXP(-LN(2)/2))/(LN(2)/2)*V201*Y201*VLOOKUP('Données projet'!$B$9,Paramètres!$A$1:$I$89,3,0)*0.475*44/12</f>
        <v>5.6908894155693355E-25</v>
      </c>
      <c r="AC201" s="24">
        <f t="shared" si="163"/>
        <v>0.21124545778051237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175.05987582828078</v>
      </c>
      <c r="AO201" s="62">
        <f t="shared" si="205"/>
        <v>268.54782308462387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8.6138427544655588E-2</v>
      </c>
      <c r="AW201" s="23">
        <f>EXP(-LN(2)/2)*AW200+(1-EXP(-LN(2)/2))/(LN(2)/2)*AQ201*AT201*VLOOKUP('Données projet'!$B$10,Paramètres!$A$1:$I$89,3,0)*0.475*44/12</f>
        <v>6.539360291725908E-25</v>
      </c>
      <c r="AX201" s="23">
        <f t="shared" si="166"/>
        <v>8.6138427544655588E-2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287.29865338866551</v>
      </c>
      <c r="BJ201" s="62">
        <f t="shared" si="206"/>
        <v>217.57508587672368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0.10391398436036173</v>
      </c>
      <c r="BR201" s="23">
        <f>EXP(-LN(2)/2)*BR200+(1-EXP(-LN(2)/2))/(LN(2)/2)*BL201*BO201*VLOOKUP('Données projet'!$B$11,Paramètres!$A$1:$I$89,3,0)*0.475*44/12</f>
        <v>6.651661770591959E-25</v>
      </c>
      <c r="BS201" s="24">
        <f t="shared" si="169"/>
        <v>0.10391398436036173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-1.9065282685915009E-13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302.20483575440988</v>
      </c>
      <c r="T202" s="62">
        <f t="shared" si="204"/>
        <v>275.32862097158687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0.20546893962858845</v>
      </c>
      <c r="AB202" s="23">
        <f>EXP(-LN(2)/2)*AB201+(1-EXP(-LN(2)/2))/(LN(2)/2)*V202*Y202*VLOOKUP('Données projet'!$B$9,Paramètres!$A$1:$I$89,3,0)*0.475*44/12</f>
        <v>4.0240664967318257E-25</v>
      </c>
      <c r="AC202" s="24">
        <f t="shared" si="163"/>
        <v>0.20546893962858845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175.05987582828078</v>
      </c>
      <c r="AO202" s="62">
        <f t="shared" si="205"/>
        <v>268.54782308462387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8.3782967713623951E-2</v>
      </c>
      <c r="AW202" s="23">
        <f>EXP(-LN(2)/2)*AW201+(1-EXP(-LN(2)/2))/(LN(2)/2)*AQ202*AT202*VLOOKUP('Données projet'!$B$10,Paramètres!$A$1:$I$89,3,0)*0.475*44/12</f>
        <v>4.6240260069014292E-25</v>
      </c>
      <c r="AX202" s="23">
        <f t="shared" si="166"/>
        <v>8.3782967713623951E-2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287.29865338866551</v>
      </c>
      <c r="BJ202" s="62">
        <f t="shared" si="206"/>
        <v>217.57508587672368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0.10107245099342869</v>
      </c>
      <c r="BR202" s="23">
        <f>EXP(-LN(2)/2)*BR201+(1-EXP(-LN(2)/2))/(LN(2)/2)*BL202*BO202*VLOOKUP('Données projet'!$B$11,Paramètres!$A$1:$I$89,3,0)*0.475*44/12</f>
        <v>4.7034351441448915E-25</v>
      </c>
      <c r="BS202" s="24">
        <f t="shared" si="169"/>
        <v>0.10107245099342869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-1.9065282685915009E-13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302.20483575440988</v>
      </c>
      <c r="T203" s="62">
        <f t="shared" si="204"/>
        <v>275.32862097158687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0.19985038066930277</v>
      </c>
      <c r="AB203" s="23">
        <f>EXP(-LN(2)/2)*AB202+(1-EXP(-LN(2)/2))/(LN(2)/2)*V203*Y203*VLOOKUP('Données projet'!$B$9,Paramètres!$A$1:$I$89,3,0)*0.475*44/12</f>
        <v>2.8454447077846682E-25</v>
      </c>
      <c r="AC203" s="24">
        <f t="shared" si="163"/>
        <v>0.19985038066930277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175.05987582828078</v>
      </c>
      <c r="AO203" s="62">
        <f t="shared" si="205"/>
        <v>268.54782308462387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8.1491918055540125E-2</v>
      </c>
      <c r="AW203" s="23">
        <f>EXP(-LN(2)/2)*AW202+(1-EXP(-LN(2)/2))/(LN(2)/2)*AQ203*AT203*VLOOKUP('Données projet'!$B$10,Paramètres!$A$1:$I$89,3,0)*0.475*44/12</f>
        <v>3.269680145862954E-25</v>
      </c>
      <c r="AX203" s="23">
        <f t="shared" si="166"/>
        <v>8.1491918055540125E-2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287.29865338866551</v>
      </c>
      <c r="BJ203" s="62">
        <f t="shared" si="206"/>
        <v>217.57508587672368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9.83086195058442E-2</v>
      </c>
      <c r="BR203" s="23">
        <f>EXP(-LN(2)/2)*BR202+(1-EXP(-LN(2)/2))/(LN(2)/2)*BL203*BO203*VLOOKUP('Données projet'!$B$11,Paramètres!$A$1:$I$89,3,0)*0.475*44/12</f>
        <v>3.3258308852959795E-25</v>
      </c>
      <c r="BS203" s="24">
        <f t="shared" si="169"/>
        <v>9.83086195058442E-2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1.289976715395158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1.2997069632623315</v>
      </c>
      <c r="BA205" s="88">
        <f>EXP(LN('Données projet'!B88)/'Données projet'!A88)</f>
        <v>1.244502252163008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A8" sqref="A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1</v>
      </c>
      <c r="C6" s="156">
        <f ca="1">IF(OR('Données projet'!B9="",'Données projet'!C9="",'Données projet'!C9=0%),0,Calculateur!S3)</f>
        <v>302.20483575440988</v>
      </c>
      <c r="D6" s="156">
        <f>IF(OR('Données projet'!B9="",'Données projet'!C9="",'Données projet'!C9=0%),0,Calculateur!T3)</f>
        <v>275.32862097158687</v>
      </c>
      <c r="E6" s="156">
        <f ca="1">MIN(C6,D6)</f>
        <v>275.32862097158687</v>
      </c>
      <c r="F6" s="156">
        <f ca="1">E6*B6</f>
        <v>275.32862097158687</v>
      </c>
      <c r="G6" s="156">
        <f ca="1">F6*(100%-'Données projet'!$C$24)*(100%-'Données projet'!$C$25)*(100%-'Données projet'!$C$26)*(100%-'Données projet'!$C$27)</f>
        <v>247.7957588744282</v>
      </c>
      <c r="H6" s="157">
        <f>IF(OR('Données projet'!B9="",'Données projet'!C9="",'Données projet'!C9=0%),0,AVERAGE(Calculateur!$AC$3:$AC$33)*B6)</f>
        <v>8.4484488976199508</v>
      </c>
      <c r="I6" s="158">
        <f>H6*(100%-'Données projet'!$C$24)*(100%-'Données projet'!$C$25)*(100%-'Données projet'!$C$26)*(100%-'Données projet'!$C$27)</f>
        <v>7.6036040078579559</v>
      </c>
      <c r="J6" s="159">
        <f>IF(OR('Données projet'!B9="",'Données projet'!C9="",'Données projet'!C9=0%),0,SUM(Calculateur!$V$3:$V$33)*VLOOKUP('Données projet'!$B$9,Paramètres!$A$1:$I$89,9,0)*B6)</f>
        <v>54.61</v>
      </c>
      <c r="K6" s="160">
        <f>J6*(100%-'Données projet'!$C$24)*(100%-'Données projet'!$C$25)*(100%-'Données projet'!$C$26)*(100%-'Données projet'!$C$27)</f>
        <v>49.149000000000001</v>
      </c>
      <c r="L6" s="161">
        <f ca="1">G6+I6+K6</f>
        <v>304.54836288228614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Mélèze d'Europe</v>
      </c>
      <c r="B7" s="163">
        <f>'Données projet'!D10</f>
        <v>0.5</v>
      </c>
      <c r="C7" s="156">
        <f ca="1">IF(OR('Données projet'!B10="",'Données projet'!C10="",'Données projet'!C10=0%),0,Calculateur!AN3)</f>
        <v>175.05987582828078</v>
      </c>
      <c r="D7" s="156">
        <f>IF(OR('Données projet'!B10="",'Données projet'!C10="",'Données projet'!C10=0%),0,Calculateur!AO3)</f>
        <v>268.54782308462387</v>
      </c>
      <c r="E7" s="156">
        <f t="shared" ref="E7:E15" ca="1" si="0">MIN(C7,D7)</f>
        <v>175.05987582828078</v>
      </c>
      <c r="F7" s="156">
        <f t="shared" ref="F7:F15" ca="1" si="1">E7*B7</f>
        <v>87.52993791414039</v>
      </c>
      <c r="G7" s="156">
        <f ca="1">F7*(100%-'Données projet'!$C$24)*(100%-'Données projet'!$C$25)*(100%-'Données projet'!$C$26)*(100%-'Données projet'!$C$27)</f>
        <v>78.776944122726348</v>
      </c>
      <c r="H7" s="164">
        <f>IF(OR('Données projet'!B10="",'Données projet'!C10="",'Données projet'!C10=0%),0,AVERAGE(Calculateur!$AX$3:$AX$33)*B7)</f>
        <v>1.4915946935841471</v>
      </c>
      <c r="I7" s="158">
        <f>H7*(100%-'Données projet'!$C$24)*(100%-'Données projet'!$C$25)*(100%-'Données projet'!$C$26)*(100%-'Données projet'!$C$27)</f>
        <v>1.3424352242257325</v>
      </c>
      <c r="J7" s="159">
        <f>IF(OR('Données projet'!B10="",'Données projet'!C10="",'Données projet'!C10=0%),0,SUM(Calculateur!$AQ$3:$AQ$33)*VLOOKUP('Données projet'!$B$10,Paramètres!$A$1:$I$89,9,0)*B7)</f>
        <v>27.52</v>
      </c>
      <c r="K7" s="160">
        <f>J7*(100%-'Données projet'!$C$24)*(100%-'Données projet'!$C$25)*(100%-'Données projet'!$C$26)*(100%-'Données projet'!$C$27)</f>
        <v>24.768000000000001</v>
      </c>
      <c r="L7" s="161">
        <f t="shared" ref="L7:L15" ca="1" si="2">G7+I7+K7</f>
        <v>104.88737934695209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0.5</v>
      </c>
      <c r="C8" s="156">
        <f ca="1">IF(OR('Données projet'!B11="",'Données projet'!C11="",'Données projet'!C11=0%),0,Calculateur!BI3)</f>
        <v>287.29865338866551</v>
      </c>
      <c r="D8" s="156">
        <f>IF(OR('Données projet'!B11="",'Données projet'!C11="",'Données projet'!C11=0%),0,Calculateur!BJ3)</f>
        <v>217.57508587672368</v>
      </c>
      <c r="E8" s="156">
        <f t="shared" ca="1" si="0"/>
        <v>217.57508587672368</v>
      </c>
      <c r="F8" s="156">
        <f t="shared" ca="1" si="1"/>
        <v>108.78754293836184</v>
      </c>
      <c r="G8" s="156">
        <f ca="1">F8*(100%-'Données projet'!$C$24)*(100%-'Données projet'!$C$25)*(100%-'Données projet'!$C$26)*(100%-'Données projet'!$C$27)</f>
        <v>97.908788644525657</v>
      </c>
      <c r="H8" s="164">
        <f>IF(OR('Données projet'!B11="",'Données projet'!C11="",'Données projet'!C11=0%),0,AVERAGE(Calculateur!$BS$3:$BS$33)*B8)</f>
        <v>1.4892833304057835</v>
      </c>
      <c r="I8" s="158">
        <f>H8*(100%-'Données projet'!$C$24)*(100%-'Données projet'!$C$25)*(100%-'Données projet'!$C$26)*(100%-'Données projet'!$C$27)</f>
        <v>1.3403549973652051</v>
      </c>
      <c r="J8" s="159">
        <f>IF(OR('Données projet'!B11="",'Données projet'!C11="",'Données projet'!C11=0%),0,SUM(Calculateur!$BL$3:$BL$33)*VLOOKUP('Données projet'!$B$11,Paramètres!$A$1:$I$89,9,0)*B8)</f>
        <v>14.404999999999999</v>
      </c>
      <c r="K8" s="160">
        <f>J8*(100%-'Données projet'!$C$24)*(100%-'Données projet'!$C$25)*(100%-'Données projet'!$C$26)*(100%-'Données projet'!$C$27)</f>
        <v>12.964499999999999</v>
      </c>
      <c r="L8" s="161">
        <f t="shared" ca="1" si="2"/>
        <v>112.21364364189087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471.6461018240891</v>
      </c>
      <c r="G16" s="175">
        <f t="shared" ca="1" si="3"/>
        <v>424.48149164168024</v>
      </c>
      <c r="H16" s="176">
        <f t="shared" si="3"/>
        <v>11.429326921609881</v>
      </c>
      <c r="I16" s="176">
        <f t="shared" si="3"/>
        <v>10.286394229448893</v>
      </c>
      <c r="J16" s="177">
        <f t="shared" si="3"/>
        <v>96.534999999999997</v>
      </c>
      <c r="K16" s="177">
        <f t="shared" si="3"/>
        <v>86.881500000000003</v>
      </c>
      <c r="L16" s="178">
        <f t="shared" ca="1" si="3"/>
        <v>521.64938587112908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Mélèze d'Europe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80" zoomScaleNormal="8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4964.4912929764032</v>
      </c>
      <c r="U10" s="190">
        <f>'Données projet'!D9</f>
        <v>1</v>
      </c>
      <c r="V10" s="189">
        <f>U10*T10</f>
        <v>4964.4912929764032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Mélèze d'Europe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4083.833208109329</v>
      </c>
      <c r="U11" s="190">
        <f>'Données projet'!D10</f>
        <v>0.5</v>
      </c>
      <c r="V11" s="189">
        <f t="shared" ref="V11" si="0">U11*T11</f>
        <v>2041.9166040546645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1963.0002168606686</v>
      </c>
      <c r="U12" s="190">
        <f>'Données projet'!D11</f>
        <v>0.5</v>
      </c>
      <c r="V12" s="189">
        <f t="shared" ref="V12:V19" si="1">U12*T12</f>
        <v>981.50010843033431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100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99.999999999999915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1999.9999999999982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15800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63</v>
      </c>
      <c r="C23" s="204">
        <v>15</v>
      </c>
      <c r="D23" s="194">
        <f>B23*C23</f>
        <v>945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-23612.091994538598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64</v>
      </c>
      <c r="C24" s="204">
        <v>20</v>
      </c>
      <c r="D24" s="194">
        <f t="shared" ref="D24:D42" si="2">B24*C24</f>
        <v>1280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49.02650638206886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73</v>
      </c>
      <c r="C25" s="204">
        <v>30</v>
      </c>
      <c r="D25" s="194">
        <f t="shared" si="2"/>
        <v>2190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-23661.118500920667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42</v>
      </c>
      <c r="B26" s="193">
        <f>'Données projet'!D39</f>
        <v>77</v>
      </c>
      <c r="C26" s="204">
        <v>35</v>
      </c>
      <c r="D26" s="194">
        <f t="shared" si="2"/>
        <v>2695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49</v>
      </c>
      <c r="B27" s="193">
        <f>'Données projet'!D40</f>
        <v>80</v>
      </c>
      <c r="C27" s="204">
        <v>40</v>
      </c>
      <c r="D27" s="194">
        <f t="shared" si="2"/>
        <v>3200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56</v>
      </c>
      <c r="B28" s="193">
        <f>'Données projet'!D41</f>
        <v>85</v>
      </c>
      <c r="C28" s="204">
        <v>50</v>
      </c>
      <c r="D28" s="194">
        <f t="shared" si="2"/>
        <v>4250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63</v>
      </c>
      <c r="B29" s="193">
        <f>'Données projet'!D42</f>
        <v>84</v>
      </c>
      <c r="C29" s="204">
        <v>60</v>
      </c>
      <c r="D29" s="194">
        <f t="shared" si="2"/>
        <v>5040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70</v>
      </c>
      <c r="B30" s="193">
        <f>'Données projet'!D43</f>
        <v>551</v>
      </c>
      <c r="C30" s="204">
        <v>90</v>
      </c>
      <c r="D30" s="194">
        <f t="shared" si="2"/>
        <v>49590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Mélèze d'Europe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18</v>
      </c>
      <c r="B54" s="193">
        <f>'Données projet'!D62</f>
        <v>20</v>
      </c>
      <c r="C54" s="206">
        <v>10</v>
      </c>
      <c r="D54" s="191">
        <f>B54*C54</f>
        <v>200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21</v>
      </c>
      <c r="B55" s="193">
        <f>'Données projet'!D63</f>
        <v>26</v>
      </c>
      <c r="C55" s="206">
        <v>15</v>
      </c>
      <c r="D55" s="191">
        <f t="shared" ref="D55:D73" si="4">B55*C55</f>
        <v>390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24</v>
      </c>
      <c r="B56" s="193">
        <f>'Données projet'!D64</f>
        <v>29</v>
      </c>
      <c r="C56" s="206">
        <v>20</v>
      </c>
      <c r="D56" s="191">
        <f t="shared" si="4"/>
        <v>580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53</v>
      </c>
      <c r="C57" s="206">
        <v>35</v>
      </c>
      <c r="D57" s="191">
        <f t="shared" si="4"/>
        <v>1855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36</v>
      </c>
      <c r="B58" s="193">
        <f>'Données projet'!D66</f>
        <v>62</v>
      </c>
      <c r="C58" s="206">
        <v>50</v>
      </c>
      <c r="D58" s="191">
        <f t="shared" si="4"/>
        <v>3100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42</v>
      </c>
      <c r="B59" s="193">
        <f>'Données projet'!D67</f>
        <v>67</v>
      </c>
      <c r="C59" s="206">
        <v>60</v>
      </c>
      <c r="D59" s="191">
        <f t="shared" si="4"/>
        <v>4020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48</v>
      </c>
      <c r="B60" s="193">
        <f>'Données projet'!D68</f>
        <v>65</v>
      </c>
      <c r="C60" s="206">
        <v>65</v>
      </c>
      <c r="D60" s="191">
        <f t="shared" si="4"/>
        <v>4225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304</v>
      </c>
      <c r="C61" s="204">
        <v>70</v>
      </c>
      <c r="D61" s="191">
        <f t="shared" si="4"/>
        <v>21280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16</v>
      </c>
      <c r="C85" s="204">
        <v>10</v>
      </c>
      <c r="D85" s="191">
        <f>B85*C85</f>
        <v>160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17</v>
      </c>
      <c r="C86" s="204">
        <v>10</v>
      </c>
      <c r="D86" s="191">
        <f t="shared" ref="D86:D104" si="6">B86*C86</f>
        <v>170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34</v>
      </c>
      <c r="C87" s="204">
        <v>15</v>
      </c>
      <c r="D87" s="191">
        <f t="shared" si="6"/>
        <v>510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41</v>
      </c>
      <c r="C88" s="204">
        <v>15</v>
      </c>
      <c r="D88" s="191">
        <f t="shared" si="6"/>
        <v>615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41</v>
      </c>
      <c r="C89" s="204">
        <v>20</v>
      </c>
      <c r="D89" s="191">
        <f t="shared" si="6"/>
        <v>820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53</v>
      </c>
      <c r="C90" s="204">
        <v>25</v>
      </c>
      <c r="D90" s="191">
        <f t="shared" si="6"/>
        <v>1325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53</v>
      </c>
      <c r="C91" s="204">
        <v>30</v>
      </c>
      <c r="D91" s="191">
        <f t="shared" si="6"/>
        <v>1590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78</v>
      </c>
      <c r="C92" s="204">
        <v>35</v>
      </c>
      <c r="D92" s="191">
        <f t="shared" si="6"/>
        <v>2730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65</v>
      </c>
      <c r="C93" s="204">
        <v>40</v>
      </c>
      <c r="D93" s="191">
        <f t="shared" si="6"/>
        <v>2600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37</v>
      </c>
      <c r="C94" s="204">
        <v>45</v>
      </c>
      <c r="D94" s="191">
        <f t="shared" si="6"/>
        <v>1665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541</v>
      </c>
      <c r="C95" s="204">
        <v>45</v>
      </c>
      <c r="D95" s="191">
        <f t="shared" si="6"/>
        <v>24345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Geoffrey.Rombaut</cp:lastModifiedBy>
  <dcterms:created xsi:type="dcterms:W3CDTF">2021-02-01T08:22:39Z</dcterms:created>
  <dcterms:modified xsi:type="dcterms:W3CDTF">2023-07-15T22:26:36Z</dcterms:modified>
</cp:coreProperties>
</file>