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GazelEnergie\CNPF C+for n° 116 Réchicourt-le-Château (GazelEnergie n° 1)\5 - Montage technique et administratif du dossier\"/>
    </mc:Choice>
  </mc:AlternateContent>
  <bookViews>
    <workbookView xWindow="0" yWindow="0" windowWidth="11745" windowHeight="53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B36" i="1"/>
  <c r="B65" i="1" l="1"/>
  <c r="B66" i="1"/>
  <c r="B67" i="1"/>
  <c r="B68" i="1"/>
  <c r="B69" i="1"/>
  <c r="B64" i="1"/>
  <c r="D68" i="1"/>
  <c r="D67" i="1"/>
  <c r="D66" i="1"/>
  <c r="D65" i="1"/>
  <c r="D64" i="1"/>
  <c r="D62" i="1"/>
  <c r="D63" i="1"/>
  <c r="B63" i="1"/>
  <c r="D120" i="1" l="1"/>
  <c r="B120" i="1"/>
  <c r="B119" i="1"/>
  <c r="D118" i="1"/>
  <c r="B118" i="1"/>
  <c r="B117" i="1"/>
  <c r="D116" i="1"/>
  <c r="B116" i="1"/>
  <c r="B115" i="1"/>
  <c r="B114" i="1"/>
  <c r="B104" i="1"/>
  <c r="B103" i="1"/>
  <c r="D102" i="1"/>
  <c r="B102" i="1"/>
  <c r="B101" i="1"/>
  <c r="D100" i="1"/>
  <c r="B100" i="1"/>
  <c r="B99" i="1"/>
  <c r="B98" i="1"/>
  <c r="D98" i="1"/>
  <c r="B97" i="1"/>
  <c r="D96" i="1"/>
  <c r="B96" i="1"/>
  <c r="B95" i="1"/>
  <c r="D94" i="1"/>
  <c r="B94" i="1"/>
  <c r="B93" i="1"/>
  <c r="D92" i="1"/>
  <c r="B92" i="1"/>
  <c r="B91" i="1"/>
  <c r="B90" i="1"/>
  <c r="D90" i="1"/>
  <c r="B88" i="1"/>
  <c r="B89" i="1"/>
  <c r="B62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A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CM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G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C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HI130" i="2"/>
  <c r="HG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X157" i="2"/>
  <c r="HG157" i="2"/>
  <c r="EC157" i="2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EY159" i="2"/>
  <c r="HI160" i="2"/>
  <c r="ED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HH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G162" i="2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HG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H164" i="2"/>
  <c r="FS164" i="2"/>
  <c r="EV164" i="2"/>
  <c r="FR164" i="2"/>
  <c r="EA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B167" i="2"/>
  <c r="EA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Y168" i="2" s="1"/>
  <c r="EW168" i="2"/>
  <c r="DG168" i="2"/>
  <c r="DI167" i="2"/>
  <c r="HH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B175" i="2"/>
  <c r="EA175" i="2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HG185" i="2"/>
  <c r="EA185" i="2"/>
  <c r="EW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B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HI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EA201" i="2"/>
  <c r="EB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G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14" i="2" l="1" a="1"/>
  <c r="CS114" i="2" s="1"/>
  <c r="CS24" i="2" a="1"/>
  <c r="CS24" i="2" s="1"/>
  <c r="CS56" i="2" a="1"/>
  <c r="CS56" i="2" s="1"/>
  <c r="CS105" i="2" a="1"/>
  <c r="CS105" i="2" s="1"/>
  <c r="CS72" i="2" a="1"/>
  <c r="CS72" i="2" s="1"/>
  <c r="CS77" i="2" a="1"/>
  <c r="CS77" i="2" s="1"/>
  <c r="CS185" i="2" a="1"/>
  <c r="CS185" i="2" s="1"/>
  <c r="CS120" i="2" a="1"/>
  <c r="CS120" i="2" s="1"/>
  <c r="CS134" i="2" a="1"/>
  <c r="CS134" i="2" s="1"/>
  <c r="CS137" i="2" a="1"/>
  <c r="CS137" i="2" s="1"/>
  <c r="CS161" i="2" a="1"/>
  <c r="CS161" i="2" s="1"/>
  <c r="CS129" i="2" a="1"/>
  <c r="CS129" i="2" s="1"/>
  <c r="CS52" i="2" a="1"/>
  <c r="CS52" i="2" s="1"/>
  <c r="CS38" i="2" a="1"/>
  <c r="CS38" i="2" s="1"/>
  <c r="CS66" i="2" a="1"/>
  <c r="CS66" i="2" s="1"/>
  <c r="HG203" i="2"/>
  <c r="FR203" i="2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<sst xmlns="http://schemas.openxmlformats.org/spreadsheetml/2006/main" count="1173" uniqueCount="324">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</sst>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1.7729111845982548</c:v>
                </c:pt>
                <c:pt idx="2">
                  <c:v>2.1151678278372312</c:v>
                </c:pt>
                <c:pt idx="3">
                  <c:v>2.5237467481232607</c:v>
                </c:pt>
                <c:pt idx="4">
                  <c:v>3.0115457623705972</c:v>
                </c:pt>
                <c:pt idx="5">
                  <c:v>3.593979342926795</c:v>
                </c:pt>
                <c:pt idx="6">
                  <c:v>4.2894712021729635</c:v>
                </c:pt>
                <c:pt idx="7">
                  <c:v>5.1200435679930258</c:v>
                </c:pt>
                <c:pt idx="8">
                  <c:v>6.1120221800245114</c:v>
                </c:pt>
                <c:pt idx="9">
                  <c:v>7.2968797909689798</c:v>
                </c:pt>
                <c:pt idx="10">
                  <c:v>8.712245453924151</c:v>
                </c:pt>
                <c:pt idx="11">
                  <c:v>10.403112262766973</c:v>
                </c:pt>
                <c:pt idx="12">
                  <c:v>12.423282664319792</c:v>
                </c:pt>
                <c:pt idx="13">
                  <c:v>14.837098189613906</c:v>
                </c:pt>
                <c:pt idx="14">
                  <c:v>17.721509710216786</c:v>
                </c:pt>
                <c:pt idx="15">
                  <c:v>21.168555417793829</c:v>
                </c:pt>
                <c:pt idx="16">
                  <c:v>25.288327014609248</c:v>
                </c:pt>
                <c:pt idx="17">
                  <c:v>30.212520525604287</c:v>
                </c:pt>
                <c:pt idx="18">
                  <c:v>36.098687221774846</c:v>
                </c:pt>
                <c:pt idx="19">
                  <c:v>43.135323006491404</c:v>
                </c:pt>
                <c:pt idx="20">
                  <c:v>51.547962012479537</c:v>
                </c:pt>
                <c:pt idx="21">
                  <c:v>61.606472988176044</c:v>
                </c:pt>
                <c:pt idx="22">
                  <c:v>73.633796398083533</c:v>
                </c:pt>
                <c:pt idx="23">
                  <c:v>88.016407317478823</c:v>
                </c:pt>
                <c:pt idx="24">
                  <c:v>105.21684572006173</c:v>
                </c:pt>
                <c:pt idx="25">
                  <c:v>125.78872349965967</c:v>
                </c:pt>
                <c:pt idx="26">
                  <c:v>124.28836887153766</c:v>
                </c:pt>
                <c:pt idx="27">
                  <c:v>137.77640210827045</c:v>
                </c:pt>
                <c:pt idx="28">
                  <c:v>151.23268433365888</c:v>
                </c:pt>
                <c:pt idx="29">
                  <c:v>164.66044113992641</c:v>
                </c:pt>
                <c:pt idx="30">
                  <c:v>178.06232809976675</c:v>
                </c:pt>
                <c:pt idx="31">
                  <c:v>162.9213170179128</c:v>
                </c:pt>
                <c:pt idx="32">
                  <c:v>176.32642399290862</c:v>
                </c:pt>
                <c:pt idx="33">
                  <c:v>189.70761630775556</c:v>
                </c:pt>
                <c:pt idx="34">
                  <c:v>203.06681934037002</c:v>
                </c:pt>
                <c:pt idx="35">
                  <c:v>216.40568417713143</c:v>
                </c:pt>
                <c:pt idx="36">
                  <c:v>197.62672417984075</c:v>
                </c:pt>
                <c:pt idx="37">
                  <c:v>213.44317328361072</c:v>
                </c:pt>
                <c:pt idx="38">
                  <c:v>229.23263189102838</c:v>
                </c:pt>
                <c:pt idx="39">
                  <c:v>244.99722113546932</c:v>
                </c:pt>
                <c:pt idx="40">
                  <c:v>260.73876672061471</c:v>
                </c:pt>
                <c:pt idx="41">
                  <c:v>229.47913975307119</c:v>
                </c:pt>
                <c:pt idx="42">
                  <c:v>243.76646443655667</c:v>
                </c:pt>
                <c:pt idx="43">
                  <c:v>258.0347569994421</c:v>
                </c:pt>
                <c:pt idx="44">
                  <c:v>272.28521827223369</c:v>
                </c:pt>
                <c:pt idx="45">
                  <c:v>286.51891307475512</c:v>
                </c:pt>
                <c:pt idx="46">
                  <c:v>300.73679175655633</c:v>
                </c:pt>
                <c:pt idx="47">
                  <c:v>314.93970744758707</c:v>
                </c:pt>
                <c:pt idx="48">
                  <c:v>329.12843003230131</c:v>
                </c:pt>
                <c:pt idx="49">
                  <c:v>343.30365758683416</c:v>
                </c:pt>
                <c:pt idx="50">
                  <c:v>357.46602582767576</c:v>
                </c:pt>
                <c:pt idx="51">
                  <c:v>291.17819254141574</c:v>
                </c:pt>
                <c:pt idx="52">
                  <c:v>304.4113617557411</c:v>
                </c:pt>
                <c:pt idx="53">
                  <c:v>317.63174051702936</c:v>
                </c:pt>
                <c:pt idx="54">
                  <c:v>330.83993628075677</c:v>
                </c:pt>
                <c:pt idx="55">
                  <c:v>344.03650402875382</c:v>
                </c:pt>
                <c:pt idx="56">
                  <c:v>357.22195268358115</c:v>
                </c:pt>
                <c:pt idx="57">
                  <c:v>370.39675052607771</c:v>
                </c:pt>
                <c:pt idx="58">
                  <c:v>383.56132980166291</c:v>
                </c:pt>
                <c:pt idx="59">
                  <c:v>396.71609066110949</c:v>
                </c:pt>
                <c:pt idx="60">
                  <c:v>409.86140455127207</c:v>
                </c:pt>
                <c:pt idx="61">
                  <c:v>348.31076049861173</c:v>
                </c:pt>
                <c:pt idx="62">
                  <c:v>359.90655706035335</c:v>
                </c:pt>
                <c:pt idx="63">
                  <c:v>371.49418337037804</c:v>
                </c:pt>
                <c:pt idx="64">
                  <c:v>383.07393025577699</c:v>
                </c:pt>
                <c:pt idx="65">
                  <c:v>394.64606952207788</c:v>
                </c:pt>
                <c:pt idx="66">
                  <c:v>406.21085573052596</c:v>
                </c:pt>
                <c:pt idx="67">
                  <c:v>417.76852776237479</c:v>
                </c:pt>
                <c:pt idx="68">
                  <c:v>429.31931020102047</c:v>
                </c:pt>
                <c:pt idx="69">
                  <c:v>440.86341455761885</c:v>
                </c:pt>
                <c:pt idx="70">
                  <c:v>452.40104036163103</c:v>
                </c:pt>
                <c:pt idx="71">
                  <c:v>399.27285265946415</c:v>
                </c:pt>
                <c:pt idx="72">
                  <c:v>409.37470543171111</c:v>
                </c:pt>
                <c:pt idx="73">
                  <c:v>419.4711759521465</c:v>
                </c:pt>
                <c:pt idx="74">
                  <c:v>429.56241207278003</c:v>
                </c:pt>
                <c:pt idx="75">
                  <c:v>439.64855413024537</c:v>
                </c:pt>
                <c:pt idx="76">
                  <c:v>449.72973549516274</c:v>
                </c:pt>
                <c:pt idx="77">
                  <c:v>459.80608306967133</c:v>
                </c:pt>
                <c:pt idx="78">
                  <c:v>469.87771773907002</c:v>
                </c:pt>
                <c:pt idx="79">
                  <c:v>479.94475478271625</c:v>
                </c:pt>
                <c:pt idx="80">
                  <c:v>490.0073042486506</c:v>
                </c:pt>
                <c:pt idx="81">
                  <c:v>5.0621685358189711E-12</c:v>
                </c:pt>
                <c:pt idx="82">
                  <c:v>5.0621685358189711E-12</c:v>
                </c:pt>
                <c:pt idx="83">
                  <c:v>5.0621685358189711E-12</c:v>
                </c:pt>
                <c:pt idx="84">
                  <c:v>5.0621685358189711E-12</c:v>
                </c:pt>
                <c:pt idx="85">
                  <c:v>5.0621685358189711E-12</c:v>
                </c:pt>
                <c:pt idx="86">
                  <c:v>5.0621685358189711E-12</c:v>
                </c:pt>
                <c:pt idx="87">
                  <c:v>5.0621685358189711E-12</c:v>
                </c:pt>
                <c:pt idx="88">
                  <c:v>5.0621685358189711E-12</c:v>
                </c:pt>
                <c:pt idx="89">
                  <c:v>5.0621685358189711E-12</c:v>
                </c:pt>
                <c:pt idx="90">
                  <c:v>5.0621685358189711E-12</c:v>
                </c:pt>
                <c:pt idx="91">
                  <c:v>5.0621685358189711E-12</c:v>
                </c:pt>
                <c:pt idx="92">
                  <c:v>5.0621685358189711E-12</c:v>
                </c:pt>
                <c:pt idx="93">
                  <c:v>5.0621685358189711E-12</c:v>
                </c:pt>
                <c:pt idx="94">
                  <c:v>5.0621685358189711E-12</c:v>
                </c:pt>
                <c:pt idx="95">
                  <c:v>5.0621685358189711E-12</c:v>
                </c:pt>
                <c:pt idx="96">
                  <c:v>5.0621685358189711E-12</c:v>
                </c:pt>
                <c:pt idx="97">
                  <c:v>5.0621685358189711E-12</c:v>
                </c:pt>
                <c:pt idx="98">
                  <c:v>5.0621685358189711E-12</c:v>
                </c:pt>
                <c:pt idx="99">
                  <c:v>5.0621685358189711E-12</c:v>
                </c:pt>
                <c:pt idx="100">
                  <c:v>5.0621685358189711E-12</c:v>
                </c:pt>
                <c:pt idx="101">
                  <c:v>5.0621685358189711E-12</c:v>
                </c:pt>
                <c:pt idx="102">
                  <c:v>5.0621685358189711E-12</c:v>
                </c:pt>
                <c:pt idx="103">
                  <c:v>5.0621685358189711E-12</c:v>
                </c:pt>
                <c:pt idx="104">
                  <c:v>5.0621685358189711E-12</c:v>
                </c:pt>
                <c:pt idx="105">
                  <c:v>5.0621685358189711E-12</c:v>
                </c:pt>
                <c:pt idx="106">
                  <c:v>5.0621685358189711E-12</c:v>
                </c:pt>
                <c:pt idx="107">
                  <c:v>5.0621685358189711E-12</c:v>
                </c:pt>
                <c:pt idx="108">
                  <c:v>5.0621685358189711E-12</c:v>
                </c:pt>
                <c:pt idx="109">
                  <c:v>5.0621685358189711E-12</c:v>
                </c:pt>
                <c:pt idx="110">
                  <c:v>5.0621685358189711E-12</c:v>
                </c:pt>
                <c:pt idx="111">
                  <c:v>5.0621685358189711E-12</c:v>
                </c:pt>
                <c:pt idx="112">
                  <c:v>5.0621685358189711E-12</c:v>
                </c:pt>
                <c:pt idx="113">
                  <c:v>5.0621685358189711E-12</c:v>
                </c:pt>
                <c:pt idx="114">
                  <c:v>5.0621685358189711E-12</c:v>
                </c:pt>
                <c:pt idx="115">
                  <c:v>5.0621685358189711E-12</c:v>
                </c:pt>
                <c:pt idx="116">
                  <c:v>5.0621685358189711E-12</c:v>
                </c:pt>
                <c:pt idx="117">
                  <c:v>5.0621685358189711E-12</c:v>
                </c:pt>
                <c:pt idx="118">
                  <c:v>5.0621685358189711E-12</c:v>
                </c:pt>
                <c:pt idx="119">
                  <c:v>5.0621685358189711E-12</c:v>
                </c:pt>
                <c:pt idx="120">
                  <c:v>5.0621685358189711E-12</c:v>
                </c:pt>
                <c:pt idx="121">
                  <c:v>5.0621685358189711E-12</c:v>
                </c:pt>
                <c:pt idx="122">
                  <c:v>5.0621685358189711E-12</c:v>
                </c:pt>
                <c:pt idx="123">
                  <c:v>5.0621685358189711E-12</c:v>
                </c:pt>
                <c:pt idx="124">
                  <c:v>5.0621685358189711E-12</c:v>
                </c:pt>
                <c:pt idx="125">
                  <c:v>5.0621685358189711E-12</c:v>
                </c:pt>
                <c:pt idx="126">
                  <c:v>5.0621685358189711E-12</c:v>
                </c:pt>
                <c:pt idx="127">
                  <c:v>5.0621685358189711E-12</c:v>
                </c:pt>
                <c:pt idx="128">
                  <c:v>5.0621685358189711E-12</c:v>
                </c:pt>
                <c:pt idx="129">
                  <c:v>5.0621685358189711E-12</c:v>
                </c:pt>
                <c:pt idx="130">
                  <c:v>5.0621685358189711E-12</c:v>
                </c:pt>
                <c:pt idx="131">
                  <c:v>5.0621685358189711E-12</c:v>
                </c:pt>
                <c:pt idx="132">
                  <c:v>5.0621685358189711E-12</c:v>
                </c:pt>
                <c:pt idx="133">
                  <c:v>5.0621685358189711E-12</c:v>
                </c:pt>
                <c:pt idx="134">
                  <c:v>5.0621685358189711E-12</c:v>
                </c:pt>
                <c:pt idx="135">
                  <c:v>5.0621685358189711E-12</c:v>
                </c:pt>
                <c:pt idx="136">
                  <c:v>5.0621685358189711E-12</c:v>
                </c:pt>
                <c:pt idx="137">
                  <c:v>5.0621685358189711E-12</c:v>
                </c:pt>
                <c:pt idx="138">
                  <c:v>5.0621685358189711E-12</c:v>
                </c:pt>
                <c:pt idx="139">
                  <c:v>5.0621685358189711E-12</c:v>
                </c:pt>
                <c:pt idx="140">
                  <c:v>5.0621685358189711E-12</c:v>
                </c:pt>
                <c:pt idx="141">
                  <c:v>5.0621685358189711E-12</c:v>
                </c:pt>
                <c:pt idx="142">
                  <c:v>5.0621685358189711E-12</c:v>
                </c:pt>
                <c:pt idx="143">
                  <c:v>5.0621685358189711E-12</c:v>
                </c:pt>
                <c:pt idx="144">
                  <c:v>5.0621685358189711E-12</c:v>
                </c:pt>
                <c:pt idx="145">
                  <c:v>5.0621685358189711E-12</c:v>
                </c:pt>
                <c:pt idx="146">
                  <c:v>5.0621685358189711E-12</c:v>
                </c:pt>
                <c:pt idx="147">
                  <c:v>5.0621685358189711E-12</c:v>
                </c:pt>
                <c:pt idx="148">
                  <c:v>5.0621685358189711E-12</c:v>
                </c:pt>
                <c:pt idx="149">
                  <c:v>5.0621685358189711E-12</c:v>
                </c:pt>
                <c:pt idx="150">
                  <c:v>5.0621685358189711E-12</c:v>
                </c:pt>
                <c:pt idx="151">
                  <c:v>5.0621685358189711E-12</c:v>
                </c:pt>
                <c:pt idx="152">
                  <c:v>5.0621685358189711E-12</c:v>
                </c:pt>
                <c:pt idx="153">
                  <c:v>5.0621685358189711E-12</c:v>
                </c:pt>
                <c:pt idx="154">
                  <c:v>5.0621685358189711E-12</c:v>
                </c:pt>
                <c:pt idx="155">
                  <c:v>5.0621685358189711E-12</c:v>
                </c:pt>
                <c:pt idx="156">
                  <c:v>5.0621685358189711E-12</c:v>
                </c:pt>
                <c:pt idx="157">
                  <c:v>5.0621685358189711E-12</c:v>
                </c:pt>
                <c:pt idx="158">
                  <c:v>5.0621685358189711E-12</c:v>
                </c:pt>
                <c:pt idx="159">
                  <c:v>5.0621685358189711E-12</c:v>
                </c:pt>
                <c:pt idx="160">
                  <c:v>5.0621685358189711E-12</c:v>
                </c:pt>
                <c:pt idx="161">
                  <c:v>5.0621685358189711E-12</c:v>
                </c:pt>
                <c:pt idx="162">
                  <c:v>5.0621685358189711E-12</c:v>
                </c:pt>
                <c:pt idx="163">
                  <c:v>5.0621685358189711E-12</c:v>
                </c:pt>
                <c:pt idx="164">
                  <c:v>5.0621685358189711E-12</c:v>
                </c:pt>
                <c:pt idx="165">
                  <c:v>5.0621685358189711E-12</c:v>
                </c:pt>
                <c:pt idx="166">
                  <c:v>5.0621685358189711E-12</c:v>
                </c:pt>
                <c:pt idx="167">
                  <c:v>5.0621685358189711E-12</c:v>
                </c:pt>
                <c:pt idx="168">
                  <c:v>5.0621685358189711E-12</c:v>
                </c:pt>
                <c:pt idx="169">
                  <c:v>5.0621685358189711E-12</c:v>
                </c:pt>
                <c:pt idx="170">
                  <c:v>5.0621685358189711E-12</c:v>
                </c:pt>
                <c:pt idx="171">
                  <c:v>5.0621685358189711E-12</c:v>
                </c:pt>
                <c:pt idx="172">
                  <c:v>5.0621685358189711E-12</c:v>
                </c:pt>
                <c:pt idx="173">
                  <c:v>5.0621685358189711E-12</c:v>
                </c:pt>
                <c:pt idx="174">
                  <c:v>5.0621685358189711E-12</c:v>
                </c:pt>
                <c:pt idx="175">
                  <c:v>5.0621685358189711E-12</c:v>
                </c:pt>
                <c:pt idx="176">
                  <c:v>5.0621685358189711E-12</c:v>
                </c:pt>
                <c:pt idx="177">
                  <c:v>5.0621685358189711E-12</c:v>
                </c:pt>
                <c:pt idx="178">
                  <c:v>5.0621685358189711E-12</c:v>
                </c:pt>
                <c:pt idx="179">
                  <c:v>5.0621685358189711E-12</c:v>
                </c:pt>
                <c:pt idx="180">
                  <c:v>5.0621685358189711E-12</c:v>
                </c:pt>
                <c:pt idx="181">
                  <c:v>5.0621685358189711E-12</c:v>
                </c:pt>
                <c:pt idx="182">
                  <c:v>5.0621685358189711E-12</c:v>
                </c:pt>
                <c:pt idx="183">
                  <c:v>5.0621685358189711E-12</c:v>
                </c:pt>
                <c:pt idx="184">
                  <c:v>5.0621685358189711E-12</c:v>
                </c:pt>
                <c:pt idx="185">
                  <c:v>5.0621685358189711E-12</c:v>
                </c:pt>
                <c:pt idx="186">
                  <c:v>5.0621685358189711E-12</c:v>
                </c:pt>
                <c:pt idx="187">
                  <c:v>5.0621685358189711E-12</c:v>
                </c:pt>
                <c:pt idx="188">
                  <c:v>5.0621685358189711E-12</c:v>
                </c:pt>
                <c:pt idx="189">
                  <c:v>5.0621685358189711E-12</c:v>
                </c:pt>
                <c:pt idx="190">
                  <c:v>5.0621685358189711E-12</c:v>
                </c:pt>
                <c:pt idx="191">
                  <c:v>5.0621685358189711E-12</c:v>
                </c:pt>
                <c:pt idx="192">
                  <c:v>5.0621685358189711E-12</c:v>
                </c:pt>
                <c:pt idx="193">
                  <c:v>5.0621685358189711E-12</c:v>
                </c:pt>
                <c:pt idx="194">
                  <c:v>5.0621685358189711E-12</c:v>
                </c:pt>
                <c:pt idx="195">
                  <c:v>5.0621685358189711E-12</c:v>
                </c:pt>
                <c:pt idx="196">
                  <c:v>5.0621685358189711E-12</c:v>
                </c:pt>
                <c:pt idx="197">
                  <c:v>5.0621685358189711E-12</c:v>
                </c:pt>
                <c:pt idx="198">
                  <c:v>5.0621685358189711E-12</c:v>
                </c:pt>
                <c:pt idx="199">
                  <c:v>5.0621685358189711E-12</c:v>
                </c:pt>
                <c:pt idx="200">
                  <c:v>5.0621685358189711E-12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6160"/>
        <c:axId val="1843324528"/>
      </c:scatterChart>
      <c:valAx>
        <c:axId val="1843326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4528"/>
        <c:crosses val="autoZero"/>
        <c:crossBetween val="midCat"/>
      </c:valAx>
      <c:valAx>
        <c:axId val="184332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6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35952"/>
        <c:axId val="1843331056"/>
      </c:scatterChart>
      <c:valAx>
        <c:axId val="1843335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31056"/>
        <c:crosses val="autoZero"/>
        <c:crossBetween val="midCat"/>
      </c:valAx>
      <c:valAx>
        <c:axId val="184333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35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5072"/>
        <c:axId val="1843326704"/>
      </c:scatterChart>
      <c:valAx>
        <c:axId val="1843325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6704"/>
        <c:crosses val="autoZero"/>
        <c:crossBetween val="midCat"/>
      </c:valAx>
      <c:valAx>
        <c:axId val="184332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22.563840725114591</c:v>
                </c:pt>
                <c:pt idx="12">
                  <c:v>30.915571937362625</c:v>
                </c:pt>
                <c:pt idx="13">
                  <c:v>39.204163730546632</c:v>
                </c:pt>
                <c:pt idx="14">
                  <c:v>47.445001472262504</c:v>
                </c:pt>
                <c:pt idx="15">
                  <c:v>55.647607276796499</c:v>
                </c:pt>
                <c:pt idx="16">
                  <c:v>70.509737306549212</c:v>
                </c:pt>
                <c:pt idx="17">
                  <c:v>85.29115470752177</c:v>
                </c:pt>
                <c:pt idx="18">
                  <c:v>100.00789455228305</c:v>
                </c:pt>
                <c:pt idx="19">
                  <c:v>114.67084666878549</c:v>
                </c:pt>
                <c:pt idx="20">
                  <c:v>129.28787235572034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180.30263622653698</c:v>
                </c:pt>
                <c:pt idx="27">
                  <c:v>191.36855633024655</c:v>
                </c:pt>
                <c:pt idx="28">
                  <c:v>202.41958191649721</c:v>
                </c:pt>
                <c:pt idx="29">
                  <c:v>213.45664137520603</c:v>
                </c:pt>
                <c:pt idx="30">
                  <c:v>224.48055915021391</c:v>
                </c:pt>
                <c:pt idx="31">
                  <c:v>180.87049769568833</c:v>
                </c:pt>
                <c:pt idx="32">
                  <c:v>191.08500506258929</c:v>
                </c:pt>
                <c:pt idx="33">
                  <c:v>201.28680095639413</c:v>
                </c:pt>
                <c:pt idx="34">
                  <c:v>211.47662103053383</c:v>
                </c:pt>
                <c:pt idx="35">
                  <c:v>221.65512417668984</c:v>
                </c:pt>
                <c:pt idx="36">
                  <c:v>231.54060536306486</c:v>
                </c:pt>
                <c:pt idx="37">
                  <c:v>241.41644483936727</c:v>
                </c:pt>
                <c:pt idx="38">
                  <c:v>251.28309296155342</c:v>
                </c:pt>
                <c:pt idx="39">
                  <c:v>261.14096179913935</c:v>
                </c:pt>
                <c:pt idx="40">
                  <c:v>270.99042974399345</c:v>
                </c:pt>
                <c:pt idx="41">
                  <c:v>219.39418126734577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263.67447005481591</c:v>
                </c:pt>
                <c:pt idx="47">
                  <c:v>271.83429043682327</c:v>
                </c:pt>
                <c:pt idx="48">
                  <c:v>279.98860279382762</c:v>
                </c:pt>
                <c:pt idx="49">
                  <c:v>288.1375903253072</c:v>
                </c:pt>
                <c:pt idx="50">
                  <c:v>296.28142501216286</c:v>
                </c:pt>
                <c:pt idx="51">
                  <c:v>243.6724735811645</c:v>
                </c:pt>
                <c:pt idx="52">
                  <c:v>251.56486631652953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275.20914595206574</c:v>
                </c:pt>
                <c:pt idx="56">
                  <c:v>282.23712370144091</c:v>
                </c:pt>
                <c:pt idx="57">
                  <c:v>289.26118046969765</c:v>
                </c:pt>
                <c:pt idx="58">
                  <c:v>296.2814250121628</c:v>
                </c:pt>
                <c:pt idx="59">
                  <c:v>303.29796050375188</c:v>
                </c:pt>
                <c:pt idx="60">
                  <c:v>310.31088495066086</c:v>
                </c:pt>
                <c:pt idx="61">
                  <c:v>262.26703366253628</c:v>
                </c:pt>
                <c:pt idx="62">
                  <c:v>269.02119109240988</c:v>
                </c:pt>
                <c:pt idx="63">
                  <c:v>275.77153112750085</c:v>
                </c:pt>
                <c:pt idx="64">
                  <c:v>282.51816051208368</c:v>
                </c:pt>
                <c:pt idx="65">
                  <c:v>289.26118046969776</c:v>
                </c:pt>
                <c:pt idx="66">
                  <c:v>295.43919348931178</c:v>
                </c:pt>
                <c:pt idx="67">
                  <c:v>301.61432492529298</c:v>
                </c:pt>
                <c:pt idx="68">
                  <c:v>307.78664217339764</c:v>
                </c:pt>
                <c:pt idx="69">
                  <c:v>313.95620970229157</c:v>
                </c:pt>
                <c:pt idx="70">
                  <c:v>320.12308923699339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287.8566774911713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304.42026859998913</c:v>
                </c:pt>
                <c:pt idx="77">
                  <c:v>309.7499816568681</c:v>
                </c:pt>
                <c:pt idx="78">
                  <c:v>315.07765869370627</c:v>
                </c:pt>
                <c:pt idx="79">
                  <c:v>320.40333904330799</c:v>
                </c:pt>
                <c:pt idx="80">
                  <c:v>325.72706062244129</c:v>
                </c:pt>
                <c:pt idx="81">
                  <c:v>287.29483341742736</c:v>
                </c:pt>
                <c:pt idx="82">
                  <c:v>292.35055150938075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312.27386950303764</c:v>
                </c:pt>
                <c:pt idx="87">
                  <c:v>317.03998171357262</c:v>
                </c:pt>
                <c:pt idx="88">
                  <c:v>321.80450679845393</c:v>
                </c:pt>
                <c:pt idx="89">
                  <c:v>326.56747160647166</c:v>
                </c:pt>
                <c:pt idx="90">
                  <c:v>331.32890213821264</c:v>
                </c:pt>
                <c:pt idx="91">
                  <c:v>3.5340687393033375E-12</c:v>
                </c:pt>
                <c:pt idx="92">
                  <c:v>3.5340687393033375E-12</c:v>
                </c:pt>
                <c:pt idx="93">
                  <c:v>3.5340687393033375E-12</c:v>
                </c:pt>
                <c:pt idx="94">
                  <c:v>3.5340687393033375E-12</c:v>
                </c:pt>
                <c:pt idx="95">
                  <c:v>3.5340687393033375E-12</c:v>
                </c:pt>
                <c:pt idx="96">
                  <c:v>3.5340687393033375E-12</c:v>
                </c:pt>
                <c:pt idx="97">
                  <c:v>3.5340687393033375E-12</c:v>
                </c:pt>
                <c:pt idx="98">
                  <c:v>3.5340687393033375E-12</c:v>
                </c:pt>
                <c:pt idx="99">
                  <c:v>3.5340687393033375E-12</c:v>
                </c:pt>
                <c:pt idx="100">
                  <c:v>3.5340687393033375E-12</c:v>
                </c:pt>
                <c:pt idx="101">
                  <c:v>3.5340687393033375E-12</c:v>
                </c:pt>
                <c:pt idx="102">
                  <c:v>3.5340687393033375E-12</c:v>
                </c:pt>
                <c:pt idx="103">
                  <c:v>3.5340687393033375E-12</c:v>
                </c:pt>
                <c:pt idx="104">
                  <c:v>3.5340687393033375E-12</c:v>
                </c:pt>
                <c:pt idx="105">
                  <c:v>3.5340687393033375E-12</c:v>
                </c:pt>
                <c:pt idx="106">
                  <c:v>3.5340687393033375E-12</c:v>
                </c:pt>
                <c:pt idx="107">
                  <c:v>3.5340687393033375E-12</c:v>
                </c:pt>
                <c:pt idx="108">
                  <c:v>3.5340687393033375E-12</c:v>
                </c:pt>
                <c:pt idx="109">
                  <c:v>3.5340687393033375E-12</c:v>
                </c:pt>
                <c:pt idx="110">
                  <c:v>3.5340687393033375E-12</c:v>
                </c:pt>
                <c:pt idx="111">
                  <c:v>3.5340687393033375E-12</c:v>
                </c:pt>
                <c:pt idx="112">
                  <c:v>3.5340687393033375E-12</c:v>
                </c:pt>
                <c:pt idx="113">
                  <c:v>3.5340687393033375E-12</c:v>
                </c:pt>
                <c:pt idx="114">
                  <c:v>3.5340687393033375E-12</c:v>
                </c:pt>
                <c:pt idx="115">
                  <c:v>3.5340687393033375E-12</c:v>
                </c:pt>
                <c:pt idx="116">
                  <c:v>3.5340687393033375E-12</c:v>
                </c:pt>
                <c:pt idx="117">
                  <c:v>3.5340687393033375E-12</c:v>
                </c:pt>
                <c:pt idx="118">
                  <c:v>3.5340687393033375E-12</c:v>
                </c:pt>
                <c:pt idx="119">
                  <c:v>3.5340687393033375E-12</c:v>
                </c:pt>
                <c:pt idx="120">
                  <c:v>3.5340687393033375E-12</c:v>
                </c:pt>
                <c:pt idx="121">
                  <c:v>3.5340687393033375E-12</c:v>
                </c:pt>
                <c:pt idx="122">
                  <c:v>3.5340687393033375E-12</c:v>
                </c:pt>
                <c:pt idx="123">
                  <c:v>3.5340687393033375E-12</c:v>
                </c:pt>
                <c:pt idx="124">
                  <c:v>3.5340687393033375E-12</c:v>
                </c:pt>
                <c:pt idx="125">
                  <c:v>3.5340687393033375E-12</c:v>
                </c:pt>
                <c:pt idx="126">
                  <c:v>3.5340687393033375E-12</c:v>
                </c:pt>
                <c:pt idx="127">
                  <c:v>3.5340687393033375E-12</c:v>
                </c:pt>
                <c:pt idx="128">
                  <c:v>3.5340687393033375E-12</c:v>
                </c:pt>
                <c:pt idx="129">
                  <c:v>3.5340687393033375E-12</c:v>
                </c:pt>
                <c:pt idx="130">
                  <c:v>3.5340687393033375E-12</c:v>
                </c:pt>
                <c:pt idx="131">
                  <c:v>3.5340687393033375E-12</c:v>
                </c:pt>
                <c:pt idx="132">
                  <c:v>3.5340687393033375E-12</c:v>
                </c:pt>
                <c:pt idx="133">
                  <c:v>3.5340687393033375E-12</c:v>
                </c:pt>
                <c:pt idx="134">
                  <c:v>3.5340687393033375E-12</c:v>
                </c:pt>
                <c:pt idx="135">
                  <c:v>3.5340687393033375E-12</c:v>
                </c:pt>
                <c:pt idx="136">
                  <c:v>3.5340687393033375E-12</c:v>
                </c:pt>
                <c:pt idx="137">
                  <c:v>3.5340687393033375E-12</c:v>
                </c:pt>
                <c:pt idx="138">
                  <c:v>3.5340687393033375E-12</c:v>
                </c:pt>
                <c:pt idx="139">
                  <c:v>3.5340687393033375E-12</c:v>
                </c:pt>
                <c:pt idx="140">
                  <c:v>3.5340687393033375E-12</c:v>
                </c:pt>
                <c:pt idx="141">
                  <c:v>3.5340687393033375E-12</c:v>
                </c:pt>
                <c:pt idx="142">
                  <c:v>3.5340687393033375E-12</c:v>
                </c:pt>
                <c:pt idx="143">
                  <c:v>3.5340687393033375E-12</c:v>
                </c:pt>
                <c:pt idx="144">
                  <c:v>3.5340687393033375E-12</c:v>
                </c:pt>
                <c:pt idx="145">
                  <c:v>3.5340687393033375E-12</c:v>
                </c:pt>
                <c:pt idx="146">
                  <c:v>3.5340687393033375E-12</c:v>
                </c:pt>
                <c:pt idx="147">
                  <c:v>3.5340687393033375E-12</c:v>
                </c:pt>
                <c:pt idx="148">
                  <c:v>3.5340687393033375E-12</c:v>
                </c:pt>
                <c:pt idx="149">
                  <c:v>3.5340687393033375E-12</c:v>
                </c:pt>
                <c:pt idx="150">
                  <c:v>3.5340687393033375E-12</c:v>
                </c:pt>
                <c:pt idx="151">
                  <c:v>3.5340687393033375E-12</c:v>
                </c:pt>
                <c:pt idx="152">
                  <c:v>3.5340687393033375E-12</c:v>
                </c:pt>
                <c:pt idx="153">
                  <c:v>3.5340687393033375E-12</c:v>
                </c:pt>
                <c:pt idx="154">
                  <c:v>3.5340687393033375E-12</c:v>
                </c:pt>
                <c:pt idx="155">
                  <c:v>3.5340687393033375E-12</c:v>
                </c:pt>
                <c:pt idx="156">
                  <c:v>3.5340687393033375E-12</c:v>
                </c:pt>
                <c:pt idx="157">
                  <c:v>3.5340687393033375E-12</c:v>
                </c:pt>
                <c:pt idx="158">
                  <c:v>3.5340687393033375E-12</c:v>
                </c:pt>
                <c:pt idx="159">
                  <c:v>3.5340687393033375E-12</c:v>
                </c:pt>
                <c:pt idx="160">
                  <c:v>3.5340687393033375E-12</c:v>
                </c:pt>
                <c:pt idx="161">
                  <c:v>3.5340687393033375E-12</c:v>
                </c:pt>
                <c:pt idx="162">
                  <c:v>3.5340687393033375E-12</c:v>
                </c:pt>
                <c:pt idx="163">
                  <c:v>3.5340687393033375E-12</c:v>
                </c:pt>
                <c:pt idx="164">
                  <c:v>3.5340687393033375E-12</c:v>
                </c:pt>
                <c:pt idx="165">
                  <c:v>3.5340687393033375E-12</c:v>
                </c:pt>
                <c:pt idx="166">
                  <c:v>3.5340687393033375E-12</c:v>
                </c:pt>
                <c:pt idx="167">
                  <c:v>3.5340687393033375E-12</c:v>
                </c:pt>
                <c:pt idx="168">
                  <c:v>3.5340687393033375E-12</c:v>
                </c:pt>
                <c:pt idx="169">
                  <c:v>3.5340687393033375E-12</c:v>
                </c:pt>
                <c:pt idx="170">
                  <c:v>3.5340687393033375E-12</c:v>
                </c:pt>
                <c:pt idx="171">
                  <c:v>3.5340687393033375E-12</c:v>
                </c:pt>
                <c:pt idx="172">
                  <c:v>3.5340687393033375E-12</c:v>
                </c:pt>
                <c:pt idx="173">
                  <c:v>3.5340687393033375E-12</c:v>
                </c:pt>
                <c:pt idx="174">
                  <c:v>3.5340687393033375E-12</c:v>
                </c:pt>
                <c:pt idx="175">
                  <c:v>3.5340687393033375E-12</c:v>
                </c:pt>
                <c:pt idx="176">
                  <c:v>3.5340687393033375E-12</c:v>
                </c:pt>
                <c:pt idx="177">
                  <c:v>3.5340687393033375E-12</c:v>
                </c:pt>
                <c:pt idx="178">
                  <c:v>3.5340687393033375E-12</c:v>
                </c:pt>
                <c:pt idx="179">
                  <c:v>3.5340687393033375E-12</c:v>
                </c:pt>
                <c:pt idx="180">
                  <c:v>3.5340687393033375E-12</c:v>
                </c:pt>
                <c:pt idx="181">
                  <c:v>3.5340687393033375E-12</c:v>
                </c:pt>
                <c:pt idx="182">
                  <c:v>3.5340687393033375E-12</c:v>
                </c:pt>
                <c:pt idx="183">
                  <c:v>3.5340687393033375E-12</c:v>
                </c:pt>
                <c:pt idx="184">
                  <c:v>3.5340687393033375E-12</c:v>
                </c:pt>
                <c:pt idx="185">
                  <c:v>3.5340687393033375E-12</c:v>
                </c:pt>
                <c:pt idx="186">
                  <c:v>3.5340687393033375E-12</c:v>
                </c:pt>
                <c:pt idx="187">
                  <c:v>3.5340687393033375E-12</c:v>
                </c:pt>
                <c:pt idx="188">
                  <c:v>3.5340687393033375E-12</c:v>
                </c:pt>
                <c:pt idx="189">
                  <c:v>3.5340687393033375E-12</c:v>
                </c:pt>
                <c:pt idx="190">
                  <c:v>3.5340687393033375E-12</c:v>
                </c:pt>
                <c:pt idx="191">
                  <c:v>3.5340687393033375E-12</c:v>
                </c:pt>
                <c:pt idx="192">
                  <c:v>3.5340687393033375E-12</c:v>
                </c:pt>
                <c:pt idx="193">
                  <c:v>3.5340687393033375E-12</c:v>
                </c:pt>
                <c:pt idx="194">
                  <c:v>3.5340687393033375E-12</c:v>
                </c:pt>
                <c:pt idx="195">
                  <c:v>3.5340687393033375E-12</c:v>
                </c:pt>
                <c:pt idx="196">
                  <c:v>3.5340687393033375E-12</c:v>
                </c:pt>
                <c:pt idx="197">
                  <c:v>3.5340687393033375E-12</c:v>
                </c:pt>
                <c:pt idx="198">
                  <c:v>3.5340687393033375E-12</c:v>
                </c:pt>
                <c:pt idx="199">
                  <c:v>3.5340687393033375E-12</c:v>
                </c:pt>
                <c:pt idx="200">
                  <c:v>3.5340687393033375E-12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7792"/>
        <c:axId val="1843323984"/>
      </c:scatterChart>
      <c:valAx>
        <c:axId val="1843327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3984"/>
        <c:crosses val="autoZero"/>
        <c:crossBetween val="midCat"/>
      </c:valAx>
      <c:valAx>
        <c:axId val="184332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7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22.563840725114591</c:v>
                </c:pt>
                <c:pt idx="12">
                  <c:v>30.915571937362625</c:v>
                </c:pt>
                <c:pt idx="13">
                  <c:v>39.204163730546632</c:v>
                </c:pt>
                <c:pt idx="14">
                  <c:v>47.445001472262504</c:v>
                </c:pt>
                <c:pt idx="15">
                  <c:v>55.647607276796499</c:v>
                </c:pt>
                <c:pt idx="16">
                  <c:v>70.509737306549212</c:v>
                </c:pt>
                <c:pt idx="17">
                  <c:v>85.29115470752177</c:v>
                </c:pt>
                <c:pt idx="18">
                  <c:v>100.00789455228305</c:v>
                </c:pt>
                <c:pt idx="19">
                  <c:v>114.67084666878549</c:v>
                </c:pt>
                <c:pt idx="20">
                  <c:v>129.28787235572034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180.30263622653698</c:v>
                </c:pt>
                <c:pt idx="27">
                  <c:v>191.36855633024655</c:v>
                </c:pt>
                <c:pt idx="28">
                  <c:v>202.41958191649721</c:v>
                </c:pt>
                <c:pt idx="29">
                  <c:v>213.45664137520603</c:v>
                </c:pt>
                <c:pt idx="30">
                  <c:v>224.48055915021391</c:v>
                </c:pt>
                <c:pt idx="31">
                  <c:v>180.87049769568833</c:v>
                </c:pt>
                <c:pt idx="32">
                  <c:v>191.08500506258929</c:v>
                </c:pt>
                <c:pt idx="33">
                  <c:v>201.28680095639413</c:v>
                </c:pt>
                <c:pt idx="34">
                  <c:v>211.47662103053383</c:v>
                </c:pt>
                <c:pt idx="35">
                  <c:v>221.65512417668984</c:v>
                </c:pt>
                <c:pt idx="36">
                  <c:v>231.54060536306486</c:v>
                </c:pt>
                <c:pt idx="37">
                  <c:v>241.41644483936727</c:v>
                </c:pt>
                <c:pt idx="38">
                  <c:v>251.28309296155342</c:v>
                </c:pt>
                <c:pt idx="39">
                  <c:v>261.14096179913935</c:v>
                </c:pt>
                <c:pt idx="40">
                  <c:v>270.99042974399345</c:v>
                </c:pt>
                <c:pt idx="41">
                  <c:v>219.39418126734577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263.67447005481591</c:v>
                </c:pt>
                <c:pt idx="47">
                  <c:v>271.83429043682327</c:v>
                </c:pt>
                <c:pt idx="48">
                  <c:v>279.98860279382762</c:v>
                </c:pt>
                <c:pt idx="49">
                  <c:v>288.1375903253072</c:v>
                </c:pt>
                <c:pt idx="50">
                  <c:v>296.28142501216286</c:v>
                </c:pt>
                <c:pt idx="51">
                  <c:v>243.6724735811645</c:v>
                </c:pt>
                <c:pt idx="52">
                  <c:v>251.56486631652953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275.20914595206574</c:v>
                </c:pt>
                <c:pt idx="56">
                  <c:v>282.23712370144091</c:v>
                </c:pt>
                <c:pt idx="57">
                  <c:v>289.26118046969765</c:v>
                </c:pt>
                <c:pt idx="58">
                  <c:v>296.2814250121628</c:v>
                </c:pt>
                <c:pt idx="59">
                  <c:v>303.29796050375188</c:v>
                </c:pt>
                <c:pt idx="60">
                  <c:v>310.31088495066086</c:v>
                </c:pt>
                <c:pt idx="61">
                  <c:v>262.26703366253628</c:v>
                </c:pt>
                <c:pt idx="62">
                  <c:v>269.02119109240988</c:v>
                </c:pt>
                <c:pt idx="63">
                  <c:v>275.77153112750085</c:v>
                </c:pt>
                <c:pt idx="64">
                  <c:v>282.51816051208368</c:v>
                </c:pt>
                <c:pt idx="65">
                  <c:v>289.26118046969776</c:v>
                </c:pt>
                <c:pt idx="66">
                  <c:v>295.43919348931178</c:v>
                </c:pt>
                <c:pt idx="67">
                  <c:v>301.61432492529298</c:v>
                </c:pt>
                <c:pt idx="68">
                  <c:v>307.78664217339764</c:v>
                </c:pt>
                <c:pt idx="69">
                  <c:v>313.95620970229157</c:v>
                </c:pt>
                <c:pt idx="70">
                  <c:v>320.12308923699339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287.8566774911713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304.42026859998913</c:v>
                </c:pt>
                <c:pt idx="77">
                  <c:v>309.7499816568681</c:v>
                </c:pt>
                <c:pt idx="78">
                  <c:v>315.07765869370627</c:v>
                </c:pt>
                <c:pt idx="79">
                  <c:v>320.40333904330799</c:v>
                </c:pt>
                <c:pt idx="80">
                  <c:v>325.72706062244129</c:v>
                </c:pt>
                <c:pt idx="81">
                  <c:v>287.29483341742736</c:v>
                </c:pt>
                <c:pt idx="82">
                  <c:v>292.35055150938075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312.27386950303764</c:v>
                </c:pt>
                <c:pt idx="87">
                  <c:v>317.03998171357262</c:v>
                </c:pt>
                <c:pt idx="88">
                  <c:v>321.80450679845393</c:v>
                </c:pt>
                <c:pt idx="89">
                  <c:v>326.56747160647166</c:v>
                </c:pt>
                <c:pt idx="90">
                  <c:v>331.32890213821264</c:v>
                </c:pt>
                <c:pt idx="91">
                  <c:v>3.5340687393033375E-12</c:v>
                </c:pt>
                <c:pt idx="92">
                  <c:v>3.5340687393033375E-12</c:v>
                </c:pt>
                <c:pt idx="93">
                  <c:v>3.5340687393033375E-12</c:v>
                </c:pt>
                <c:pt idx="94">
                  <c:v>3.5340687393033375E-12</c:v>
                </c:pt>
                <c:pt idx="95">
                  <c:v>3.5340687393033375E-12</c:v>
                </c:pt>
                <c:pt idx="96">
                  <c:v>3.5340687393033375E-12</c:v>
                </c:pt>
                <c:pt idx="97">
                  <c:v>3.5340687393033375E-12</c:v>
                </c:pt>
                <c:pt idx="98">
                  <c:v>3.5340687393033375E-12</c:v>
                </c:pt>
                <c:pt idx="99">
                  <c:v>3.5340687393033375E-12</c:v>
                </c:pt>
                <c:pt idx="100">
                  <c:v>3.5340687393033375E-12</c:v>
                </c:pt>
                <c:pt idx="101">
                  <c:v>3.5340687393033375E-12</c:v>
                </c:pt>
                <c:pt idx="102">
                  <c:v>3.5340687393033375E-12</c:v>
                </c:pt>
                <c:pt idx="103">
                  <c:v>3.5340687393033375E-12</c:v>
                </c:pt>
                <c:pt idx="104">
                  <c:v>3.5340687393033375E-12</c:v>
                </c:pt>
                <c:pt idx="105">
                  <c:v>3.5340687393033375E-12</c:v>
                </c:pt>
                <c:pt idx="106">
                  <c:v>3.5340687393033375E-12</c:v>
                </c:pt>
                <c:pt idx="107">
                  <c:v>3.5340687393033375E-12</c:v>
                </c:pt>
                <c:pt idx="108">
                  <c:v>3.5340687393033375E-12</c:v>
                </c:pt>
                <c:pt idx="109">
                  <c:v>3.5340687393033375E-12</c:v>
                </c:pt>
                <c:pt idx="110">
                  <c:v>3.5340687393033375E-12</c:v>
                </c:pt>
                <c:pt idx="111">
                  <c:v>3.5340687393033375E-12</c:v>
                </c:pt>
                <c:pt idx="112">
                  <c:v>3.5340687393033375E-12</c:v>
                </c:pt>
                <c:pt idx="113">
                  <c:v>3.5340687393033375E-12</c:v>
                </c:pt>
                <c:pt idx="114">
                  <c:v>3.5340687393033375E-12</c:v>
                </c:pt>
                <c:pt idx="115">
                  <c:v>3.5340687393033375E-12</c:v>
                </c:pt>
                <c:pt idx="116">
                  <c:v>3.5340687393033375E-12</c:v>
                </c:pt>
                <c:pt idx="117">
                  <c:v>3.5340687393033375E-12</c:v>
                </c:pt>
                <c:pt idx="118">
                  <c:v>3.5340687393033375E-12</c:v>
                </c:pt>
                <c:pt idx="119">
                  <c:v>3.5340687393033375E-12</c:v>
                </c:pt>
                <c:pt idx="120">
                  <c:v>3.5340687393033375E-12</c:v>
                </c:pt>
                <c:pt idx="121">
                  <c:v>3.5340687393033375E-12</c:v>
                </c:pt>
                <c:pt idx="122">
                  <c:v>3.5340687393033375E-12</c:v>
                </c:pt>
                <c:pt idx="123">
                  <c:v>3.5340687393033375E-12</c:v>
                </c:pt>
                <c:pt idx="124">
                  <c:v>3.5340687393033375E-12</c:v>
                </c:pt>
                <c:pt idx="125">
                  <c:v>3.5340687393033375E-12</c:v>
                </c:pt>
                <c:pt idx="126">
                  <c:v>3.5340687393033375E-12</c:v>
                </c:pt>
                <c:pt idx="127">
                  <c:v>3.5340687393033375E-12</c:v>
                </c:pt>
                <c:pt idx="128">
                  <c:v>3.5340687393033375E-12</c:v>
                </c:pt>
                <c:pt idx="129">
                  <c:v>3.5340687393033375E-12</c:v>
                </c:pt>
                <c:pt idx="130">
                  <c:v>3.5340687393033375E-12</c:v>
                </c:pt>
                <c:pt idx="131">
                  <c:v>3.5340687393033375E-12</c:v>
                </c:pt>
                <c:pt idx="132">
                  <c:v>3.5340687393033375E-12</c:v>
                </c:pt>
                <c:pt idx="133">
                  <c:v>3.5340687393033375E-12</c:v>
                </c:pt>
                <c:pt idx="134">
                  <c:v>3.5340687393033375E-12</c:v>
                </c:pt>
                <c:pt idx="135">
                  <c:v>3.5340687393033375E-12</c:v>
                </c:pt>
                <c:pt idx="136">
                  <c:v>3.5340687393033375E-12</c:v>
                </c:pt>
                <c:pt idx="137">
                  <c:v>3.5340687393033375E-12</c:v>
                </c:pt>
                <c:pt idx="138">
                  <c:v>3.5340687393033375E-12</c:v>
                </c:pt>
                <c:pt idx="139">
                  <c:v>3.5340687393033375E-12</c:v>
                </c:pt>
                <c:pt idx="140">
                  <c:v>3.5340687393033375E-12</c:v>
                </c:pt>
                <c:pt idx="141">
                  <c:v>3.5340687393033375E-12</c:v>
                </c:pt>
                <c:pt idx="142">
                  <c:v>3.5340687393033375E-12</c:v>
                </c:pt>
                <c:pt idx="143">
                  <c:v>3.5340687393033375E-12</c:v>
                </c:pt>
                <c:pt idx="144">
                  <c:v>3.5340687393033375E-12</c:v>
                </c:pt>
                <c:pt idx="145">
                  <c:v>3.5340687393033375E-12</c:v>
                </c:pt>
                <c:pt idx="146">
                  <c:v>3.5340687393033375E-12</c:v>
                </c:pt>
                <c:pt idx="147">
                  <c:v>3.5340687393033375E-12</c:v>
                </c:pt>
                <c:pt idx="148">
                  <c:v>3.5340687393033375E-12</c:v>
                </c:pt>
                <c:pt idx="149">
                  <c:v>3.5340687393033375E-12</c:v>
                </c:pt>
                <c:pt idx="150">
                  <c:v>3.5340687393033375E-12</c:v>
                </c:pt>
                <c:pt idx="151">
                  <c:v>3.5340687393033375E-12</c:v>
                </c:pt>
                <c:pt idx="152">
                  <c:v>3.5340687393033375E-12</c:v>
                </c:pt>
                <c:pt idx="153">
                  <c:v>3.5340687393033375E-12</c:v>
                </c:pt>
                <c:pt idx="154">
                  <c:v>3.5340687393033375E-12</c:v>
                </c:pt>
                <c:pt idx="155">
                  <c:v>3.5340687393033375E-12</c:v>
                </c:pt>
                <c:pt idx="156">
                  <c:v>3.5340687393033375E-12</c:v>
                </c:pt>
                <c:pt idx="157">
                  <c:v>3.5340687393033375E-12</c:v>
                </c:pt>
                <c:pt idx="158">
                  <c:v>3.5340687393033375E-12</c:v>
                </c:pt>
                <c:pt idx="159">
                  <c:v>3.5340687393033375E-12</c:v>
                </c:pt>
                <c:pt idx="160">
                  <c:v>3.5340687393033375E-12</c:v>
                </c:pt>
                <c:pt idx="161">
                  <c:v>3.5340687393033375E-12</c:v>
                </c:pt>
                <c:pt idx="162">
                  <c:v>3.5340687393033375E-12</c:v>
                </c:pt>
                <c:pt idx="163">
                  <c:v>3.5340687393033375E-12</c:v>
                </c:pt>
                <c:pt idx="164">
                  <c:v>3.5340687393033375E-12</c:v>
                </c:pt>
                <c:pt idx="165">
                  <c:v>3.5340687393033375E-12</c:v>
                </c:pt>
                <c:pt idx="166">
                  <c:v>3.5340687393033375E-12</c:v>
                </c:pt>
                <c:pt idx="167">
                  <c:v>3.5340687393033375E-12</c:v>
                </c:pt>
                <c:pt idx="168">
                  <c:v>3.5340687393033375E-12</c:v>
                </c:pt>
                <c:pt idx="169">
                  <c:v>3.5340687393033375E-12</c:v>
                </c:pt>
                <c:pt idx="170">
                  <c:v>3.5340687393033375E-12</c:v>
                </c:pt>
                <c:pt idx="171">
                  <c:v>3.5340687393033375E-12</c:v>
                </c:pt>
                <c:pt idx="172">
                  <c:v>3.5340687393033375E-12</c:v>
                </c:pt>
                <c:pt idx="173">
                  <c:v>3.5340687393033375E-12</c:v>
                </c:pt>
                <c:pt idx="174">
                  <c:v>3.5340687393033375E-12</c:v>
                </c:pt>
                <c:pt idx="175">
                  <c:v>3.5340687393033375E-12</c:v>
                </c:pt>
                <c:pt idx="176">
                  <c:v>3.5340687393033375E-12</c:v>
                </c:pt>
                <c:pt idx="177">
                  <c:v>3.5340687393033375E-12</c:v>
                </c:pt>
                <c:pt idx="178">
                  <c:v>3.5340687393033375E-12</c:v>
                </c:pt>
                <c:pt idx="179">
                  <c:v>3.5340687393033375E-12</c:v>
                </c:pt>
                <c:pt idx="180">
                  <c:v>3.5340687393033375E-12</c:v>
                </c:pt>
                <c:pt idx="181">
                  <c:v>3.5340687393033375E-12</c:v>
                </c:pt>
                <c:pt idx="182">
                  <c:v>3.5340687393033375E-12</c:v>
                </c:pt>
                <c:pt idx="183">
                  <c:v>3.5340687393033375E-12</c:v>
                </c:pt>
                <c:pt idx="184">
                  <c:v>3.5340687393033375E-12</c:v>
                </c:pt>
                <c:pt idx="185">
                  <c:v>3.5340687393033375E-12</c:v>
                </c:pt>
                <c:pt idx="186">
                  <c:v>3.5340687393033375E-12</c:v>
                </c:pt>
                <c:pt idx="187">
                  <c:v>3.5340687393033375E-12</c:v>
                </c:pt>
                <c:pt idx="188">
                  <c:v>3.5340687393033375E-12</c:v>
                </c:pt>
                <c:pt idx="189">
                  <c:v>3.5340687393033375E-12</c:v>
                </c:pt>
                <c:pt idx="190">
                  <c:v>3.5340687393033375E-12</c:v>
                </c:pt>
                <c:pt idx="191">
                  <c:v>3.5340687393033375E-12</c:v>
                </c:pt>
                <c:pt idx="192">
                  <c:v>3.5340687393033375E-12</c:v>
                </c:pt>
                <c:pt idx="193">
                  <c:v>3.5340687393033375E-12</c:v>
                </c:pt>
                <c:pt idx="194">
                  <c:v>3.5340687393033375E-12</c:v>
                </c:pt>
                <c:pt idx="195">
                  <c:v>3.5340687393033375E-12</c:v>
                </c:pt>
                <c:pt idx="196">
                  <c:v>3.5340687393033375E-12</c:v>
                </c:pt>
                <c:pt idx="197">
                  <c:v>3.5340687393033375E-12</c:v>
                </c:pt>
                <c:pt idx="198">
                  <c:v>3.5340687393033375E-12</c:v>
                </c:pt>
                <c:pt idx="199">
                  <c:v>3.5340687393033375E-12</c:v>
                </c:pt>
                <c:pt idx="200">
                  <c:v>3.5340687393033375E-12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33776"/>
        <c:axId val="1843334864"/>
      </c:scatterChart>
      <c:valAx>
        <c:axId val="1843333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34864"/>
        <c:crosses val="autoZero"/>
        <c:crossBetween val="midCat"/>
      </c:valAx>
      <c:valAx>
        <c:axId val="184333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3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9968"/>
        <c:axId val="1843328880"/>
      </c:scatterChart>
      <c:valAx>
        <c:axId val="1843329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8880"/>
        <c:crosses val="autoZero"/>
        <c:crossBetween val="midCat"/>
      </c:valAx>
      <c:valAx>
        <c:axId val="184332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9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33232"/>
        <c:axId val="1843338128"/>
      </c:scatterChart>
      <c:valAx>
        <c:axId val="1843333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38128"/>
        <c:crosses val="autoZero"/>
        <c:crossBetween val="midCat"/>
      </c:valAx>
      <c:valAx>
        <c:axId val="184333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33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7248"/>
        <c:axId val="1843322896"/>
      </c:scatterChart>
      <c:valAx>
        <c:axId val="184332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2896"/>
        <c:crosses val="autoZero"/>
        <c:crossBetween val="midCat"/>
      </c:valAx>
      <c:valAx>
        <c:axId val="184332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8336"/>
        <c:axId val="1843329424"/>
      </c:scatterChart>
      <c:valAx>
        <c:axId val="1843328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9424"/>
        <c:crosses val="autoZero"/>
        <c:crossBetween val="midCat"/>
      </c:valAx>
      <c:valAx>
        <c:axId val="184332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8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3325616"/>
        <c:axId val="1843323440"/>
      </c:scatterChart>
      <c:valAx>
        <c:axId val="1843325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3440"/>
        <c:crosses val="autoZero"/>
        <c:crossBetween val="midCat"/>
      </c:valAx>
      <c:valAx>
        <c:axId val="18433234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32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70" zoomScaleNormal="70" workbookViewId="0">
      <selection activeCell="E24" sqref="E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6.5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41</v>
      </c>
      <c r="C9" s="35">
        <v>0.38500000000000001</v>
      </c>
      <c r="D9" s="36">
        <f t="shared" ref="D9:D18" si="0">C9*$C$5</f>
        <v>2.5024999999999999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0.38500000000000001</v>
      </c>
      <c r="D10" s="36">
        <f t="shared" si="0"/>
        <v>2.5024999999999999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</v>
      </c>
      <c r="C11" s="35">
        <v>0.115</v>
      </c>
      <c r="D11" s="36">
        <f t="shared" si="0"/>
        <v>0.74750000000000005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98</v>
      </c>
      <c r="C12" s="35">
        <v>0.115</v>
      </c>
      <c r="D12" s="36">
        <f t="shared" si="0"/>
        <v>0.74750000000000005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6.5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sylvestre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f>86+12</f>
        <v>98</v>
      </c>
      <c r="C36" s="53">
        <v>1</v>
      </c>
      <c r="D36" s="63">
        <f>12</f>
        <v>12</v>
      </c>
      <c r="E36" s="54"/>
      <c r="F36" s="54">
        <v>0.5</v>
      </c>
      <c r="G36" s="54">
        <v>0.5</v>
      </c>
      <c r="H36" s="54"/>
      <c r="I36" s="52">
        <f>IFERROR(B36/A36,"")</f>
        <v>3.92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f>117+23</f>
        <v>140</v>
      </c>
      <c r="C37" s="53">
        <v>2</v>
      </c>
      <c r="D37" s="63">
        <f>23</f>
        <v>23</v>
      </c>
      <c r="E37" s="54"/>
      <c r="F37" s="54"/>
      <c r="G37" s="54"/>
      <c r="H37" s="54"/>
      <c r="I37" s="56">
        <f t="shared" ref="I37:I44" si="1">IF(A37&lt;&gt;0,(B37-(B36-D36))/(A37-A36),"")</f>
        <v>10.8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f>143+28</f>
        <v>171</v>
      </c>
      <c r="C38" s="53">
        <v>3</v>
      </c>
      <c r="D38" s="63">
        <f>28</f>
        <v>28</v>
      </c>
      <c r="E38" s="54"/>
      <c r="F38" s="54"/>
      <c r="G38" s="54"/>
      <c r="H38" s="54"/>
      <c r="I38" s="56">
        <f t="shared" si="1"/>
        <v>10.8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f>170+37</f>
        <v>207</v>
      </c>
      <c r="C39" s="53">
        <v>4</v>
      </c>
      <c r="D39" s="63">
        <f>37</f>
        <v>37</v>
      </c>
      <c r="E39" s="54"/>
      <c r="F39" s="54"/>
      <c r="G39" s="54"/>
      <c r="H39" s="54"/>
      <c r="I39" s="52">
        <f t="shared" si="1"/>
        <v>12.8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f>221+65</f>
        <v>286</v>
      </c>
      <c r="C40" s="53">
        <v>5</v>
      </c>
      <c r="D40" s="63">
        <f>65</f>
        <v>65</v>
      </c>
      <c r="E40" s="54"/>
      <c r="F40" s="54"/>
      <c r="G40" s="54"/>
      <c r="H40" s="54"/>
      <c r="I40" s="52">
        <f t="shared" si="1"/>
        <v>11.6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f>269+60</f>
        <v>329</v>
      </c>
      <c r="C41" s="53">
        <v>6</v>
      </c>
      <c r="D41" s="63">
        <f>60</f>
        <v>60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f>312+52</f>
        <v>364</v>
      </c>
      <c r="C42" s="53">
        <v>7</v>
      </c>
      <c r="D42" s="63">
        <f>52</f>
        <v>52</v>
      </c>
      <c r="E42" s="54"/>
      <c r="F42" s="54"/>
      <c r="G42" s="54"/>
      <c r="H42" s="54"/>
      <c r="I42" s="56">
        <f t="shared" si="1"/>
        <v>9.5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80</v>
      </c>
      <c r="B43" s="63">
        <f>352+43</f>
        <v>395</v>
      </c>
      <c r="C43" s="53">
        <v>8</v>
      </c>
      <c r="D43" s="63">
        <f>395</f>
        <v>395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ref="I45:I55" si="2">IF(A45&lt;&gt;0,(B45-(B44-D44))/(A45-A44),"")</f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2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2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2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2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63"/>
      <c r="C50" s="63"/>
      <c r="D50" s="63"/>
      <c r="E50" s="54"/>
      <c r="F50" s="54"/>
      <c r="G50" s="54"/>
      <c r="H50" s="54"/>
      <c r="I50" s="52" t="str">
        <f t="shared" si="2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63"/>
      <c r="C51" s="63"/>
      <c r="D51" s="63"/>
      <c r="E51" s="54"/>
      <c r="F51" s="54"/>
      <c r="G51" s="54"/>
      <c r="H51" s="54"/>
      <c r="I51" s="52" t="str">
        <f t="shared" si="2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63"/>
      <c r="C52" s="63"/>
      <c r="D52" s="63"/>
      <c r="E52" s="54"/>
      <c r="F52" s="54"/>
      <c r="G52" s="54"/>
      <c r="H52" s="54"/>
      <c r="I52" s="52" t="str">
        <f t="shared" si="2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63"/>
      <c r="C53" s="63"/>
      <c r="D53" s="63"/>
      <c r="E53" s="54"/>
      <c r="F53" s="54"/>
      <c r="G53" s="54"/>
      <c r="H53" s="54"/>
      <c r="I53" s="52" t="str">
        <f t="shared" si="2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63"/>
      <c r="C54" s="63"/>
      <c r="D54" s="63"/>
      <c r="E54" s="54"/>
      <c r="F54" s="54"/>
      <c r="G54" s="54"/>
      <c r="H54" s="54"/>
      <c r="I54" s="52" t="str">
        <f t="shared" si="2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2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27</v>
      </c>
      <c r="B62" s="63">
        <f>103+15</f>
        <v>118</v>
      </c>
      <c r="C62" s="63">
        <v>1</v>
      </c>
      <c r="D62" s="63">
        <f>15</f>
        <v>15</v>
      </c>
      <c r="E62" s="54"/>
      <c r="F62" s="54"/>
      <c r="G62" s="54"/>
      <c r="H62" s="54"/>
      <c r="I62" s="56">
        <f>IFERROR(B62/A62,"")</f>
        <v>4.3703703703703702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f>119+13</f>
        <v>132</v>
      </c>
      <c r="C63" s="63">
        <v>2</v>
      </c>
      <c r="D63" s="63">
        <f>13</f>
        <v>13</v>
      </c>
      <c r="E63" s="54"/>
      <c r="F63" s="54">
        <v>0.5</v>
      </c>
      <c r="G63" s="54">
        <v>0.5</v>
      </c>
      <c r="H63" s="54"/>
      <c r="I63" s="52">
        <f t="shared" ref="I63:I73" si="3">IF(A63&lt;&gt;0,(B63-(B62-D62))/(A63-A62),"")</f>
        <v>9.6666666666666661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f>146+D64</f>
        <v>169</v>
      </c>
      <c r="C64" s="63">
        <v>3</v>
      </c>
      <c r="D64" s="63">
        <f>23</f>
        <v>23</v>
      </c>
      <c r="E64" s="54"/>
      <c r="F64" s="54"/>
      <c r="G64" s="54"/>
      <c r="H64" s="54"/>
      <c r="I64" s="52">
        <f t="shared" si="3"/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f>174+D65</f>
        <v>208</v>
      </c>
      <c r="C65" s="63">
        <v>4</v>
      </c>
      <c r="D65" s="63">
        <f>34</f>
        <v>34</v>
      </c>
      <c r="E65" s="54"/>
      <c r="F65" s="54"/>
      <c r="G65" s="54"/>
      <c r="H65" s="54"/>
      <c r="I65" s="52">
        <f t="shared" si="3"/>
        <v>12.4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f>236+D66</f>
        <v>315</v>
      </c>
      <c r="C66" s="63">
        <v>5</v>
      </c>
      <c r="D66" s="63">
        <f>79</f>
        <v>79</v>
      </c>
      <c r="E66" s="54"/>
      <c r="F66" s="54"/>
      <c r="G66" s="54"/>
      <c r="H66" s="54"/>
      <c r="I66" s="52">
        <f t="shared" si="3"/>
        <v>14.1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60</v>
      </c>
      <c r="B67" s="63">
        <f>305+D67</f>
        <v>393</v>
      </c>
      <c r="C67" s="63">
        <v>6</v>
      </c>
      <c r="D67" s="63">
        <f>88</f>
        <v>88</v>
      </c>
      <c r="E67" s="54"/>
      <c r="F67" s="54"/>
      <c r="G67" s="54"/>
      <c r="H67" s="54"/>
      <c r="I67" s="52">
        <f t="shared" si="3"/>
        <v>15.7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70</v>
      </c>
      <c r="B68" s="63">
        <f>370+D68</f>
        <v>448</v>
      </c>
      <c r="C68" s="63">
        <v>7</v>
      </c>
      <c r="D68" s="63">
        <f>78</f>
        <v>78</v>
      </c>
      <c r="E68" s="54"/>
      <c r="F68" s="54"/>
      <c r="G68" s="54"/>
      <c r="H68" s="54"/>
      <c r="I68" s="52">
        <f t="shared" si="3"/>
        <v>14.3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80</v>
      </c>
      <c r="B69" s="63">
        <f>415+45</f>
        <v>460</v>
      </c>
      <c r="C69" s="63">
        <v>8</v>
      </c>
      <c r="D69" s="63">
        <v>460</v>
      </c>
      <c r="E69" s="54"/>
      <c r="F69" s="54"/>
      <c r="G69" s="54"/>
      <c r="H69" s="54"/>
      <c r="I69" s="52">
        <f t="shared" si="3"/>
        <v>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/>
      <c r="B70" s="63"/>
      <c r="C70" s="63"/>
      <c r="D70" s="63"/>
      <c r="E70" s="54"/>
      <c r="F70" s="54"/>
      <c r="G70" s="54"/>
      <c r="H70" s="54"/>
      <c r="I70" s="52" t="str">
        <f t="shared" si="3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/>
      <c r="B71" s="63"/>
      <c r="C71" s="63"/>
      <c r="D71" s="63"/>
      <c r="E71" s="54"/>
      <c r="F71" s="54"/>
      <c r="G71" s="54"/>
      <c r="H71" s="54"/>
      <c r="I71" s="52" t="str">
        <f t="shared" si="3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/>
      <c r="B72" s="63"/>
      <c r="C72" s="63"/>
      <c r="D72" s="63"/>
      <c r="E72" s="54"/>
      <c r="F72" s="54"/>
      <c r="G72" s="54"/>
      <c r="H72" s="54"/>
      <c r="I72" s="52" t="str">
        <f t="shared" si="3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ref="I74:I81" si="4">IF(A74&lt;&gt;0,(B74-(B73-D73))/(A74-A73),"")</f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4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4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4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4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4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4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4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Aulne glutineux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f>8+1</f>
        <v>9</v>
      </c>
      <c r="C88" s="63"/>
      <c r="D88" s="63"/>
      <c r="E88" s="54"/>
      <c r="F88" s="54"/>
      <c r="G88" s="54"/>
      <c r="H88" s="54"/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f>33+3+1</f>
        <v>37</v>
      </c>
      <c r="C89" s="63"/>
      <c r="D89" s="63"/>
      <c r="E89" s="54"/>
      <c r="F89" s="54"/>
      <c r="G89" s="54"/>
      <c r="H89" s="54"/>
      <c r="I89" s="56">
        <f t="shared" ref="I89:I105" si="5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f>75+9+3+1</f>
        <v>88</v>
      </c>
      <c r="C90" s="63">
        <v>1</v>
      </c>
      <c r="D90" s="63">
        <f>9+3+1</f>
        <v>13</v>
      </c>
      <c r="E90" s="54"/>
      <c r="F90" s="54"/>
      <c r="G90" s="54"/>
      <c r="H90" s="54">
        <v>1</v>
      </c>
      <c r="I90" s="56">
        <f t="shared" si="5"/>
        <v>10.199999999999999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f>98+18</f>
        <v>116</v>
      </c>
      <c r="C91" s="63"/>
      <c r="D91" s="63"/>
      <c r="E91" s="54"/>
      <c r="F91" s="54"/>
      <c r="G91" s="54"/>
      <c r="H91" s="54"/>
      <c r="I91" s="56">
        <f t="shared" si="5"/>
        <v>8.1999999999999993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f>117+20+18</f>
        <v>155</v>
      </c>
      <c r="C92" s="63">
        <v>2</v>
      </c>
      <c r="D92" s="63">
        <f>20+18</f>
        <v>38</v>
      </c>
      <c r="E92" s="54"/>
      <c r="F92" s="54"/>
      <c r="G92" s="54"/>
      <c r="H92" s="54">
        <v>1</v>
      </c>
      <c r="I92" s="56">
        <f t="shared" si="5"/>
        <v>7.8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f>132+21</f>
        <v>153</v>
      </c>
      <c r="C93" s="63"/>
      <c r="D93" s="63"/>
      <c r="E93" s="54"/>
      <c r="F93" s="54"/>
      <c r="G93" s="54"/>
      <c r="H93" s="54"/>
      <c r="I93" s="56">
        <f t="shared" si="5"/>
        <v>7.2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f>145+22+21</f>
        <v>188</v>
      </c>
      <c r="C94" s="63">
        <v>3</v>
      </c>
      <c r="D94" s="63">
        <f>22+21</f>
        <v>43</v>
      </c>
      <c r="E94" s="54"/>
      <c r="F94" s="54"/>
      <c r="G94" s="54"/>
      <c r="H94" s="54"/>
      <c r="I94" s="56">
        <f t="shared" si="5"/>
        <v>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45</v>
      </c>
      <c r="B95" s="53">
        <f>155+22</f>
        <v>177</v>
      </c>
      <c r="C95" s="53"/>
      <c r="D95" s="53"/>
      <c r="E95" s="54"/>
      <c r="F95" s="54"/>
      <c r="G95" s="54"/>
      <c r="H95" s="54"/>
      <c r="I95" s="56">
        <f t="shared" si="5"/>
        <v>6.4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50</v>
      </c>
      <c r="B96" s="53">
        <f>163+21+22</f>
        <v>206</v>
      </c>
      <c r="C96" s="53">
        <v>4</v>
      </c>
      <c r="D96" s="53">
        <f>21+22</f>
        <v>43</v>
      </c>
      <c r="E96" s="54"/>
      <c r="F96" s="54"/>
      <c r="G96" s="54"/>
      <c r="H96" s="54"/>
      <c r="I96" s="56">
        <f t="shared" si="5"/>
        <v>5.8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55</v>
      </c>
      <c r="B97" s="53">
        <f>171+20</f>
        <v>191</v>
      </c>
      <c r="C97" s="53"/>
      <c r="D97" s="53"/>
      <c r="E97" s="54"/>
      <c r="F97" s="54"/>
      <c r="G97" s="54"/>
      <c r="H97" s="54"/>
      <c r="I97" s="56">
        <f t="shared" si="5"/>
        <v>5.6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60</v>
      </c>
      <c r="B98" s="53">
        <f>177+19+20</f>
        <v>216</v>
      </c>
      <c r="C98" s="53">
        <v>5</v>
      </c>
      <c r="D98" s="53">
        <f>19+20</f>
        <v>39</v>
      </c>
      <c r="E98" s="54"/>
      <c r="F98" s="54"/>
      <c r="G98" s="54"/>
      <c r="H98" s="54"/>
      <c r="I98" s="56">
        <f t="shared" si="5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65</v>
      </c>
      <c r="B99" s="53">
        <f>183+18</f>
        <v>201</v>
      </c>
      <c r="C99" s="53"/>
      <c r="D99" s="53"/>
      <c r="E99" s="54"/>
      <c r="F99" s="54"/>
      <c r="G99" s="54"/>
      <c r="H99" s="54"/>
      <c r="I99" s="56">
        <f t="shared" si="5"/>
        <v>4.8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70</v>
      </c>
      <c r="B100" s="53">
        <f>188+17+18</f>
        <v>223</v>
      </c>
      <c r="C100" s="53">
        <v>6</v>
      </c>
      <c r="D100" s="53">
        <f>17+18</f>
        <v>35</v>
      </c>
      <c r="E100" s="54"/>
      <c r="F100" s="54"/>
      <c r="G100" s="54"/>
      <c r="H100" s="54"/>
      <c r="I100" s="56">
        <f t="shared" si="5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75</v>
      </c>
      <c r="B101" s="53">
        <f>192+16</f>
        <v>208</v>
      </c>
      <c r="C101" s="53"/>
      <c r="D101" s="53"/>
      <c r="E101" s="54"/>
      <c r="F101" s="54"/>
      <c r="G101" s="54"/>
      <c r="H101" s="54"/>
      <c r="I101" s="56">
        <f t="shared" si="5"/>
        <v>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80</v>
      </c>
      <c r="B102" s="53">
        <f>196+15+16</f>
        <v>227</v>
      </c>
      <c r="C102" s="53">
        <v>7</v>
      </c>
      <c r="D102" s="53">
        <f>15+16</f>
        <v>31</v>
      </c>
      <c r="E102" s="54"/>
      <c r="F102" s="54"/>
      <c r="G102" s="54"/>
      <c r="H102" s="54"/>
      <c r="I102" s="56">
        <f t="shared" si="5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85</v>
      </c>
      <c r="B103" s="53">
        <f>200+14</f>
        <v>214</v>
      </c>
      <c r="C103" s="53"/>
      <c r="D103" s="53"/>
      <c r="E103" s="54"/>
      <c r="F103" s="54"/>
      <c r="G103" s="54"/>
      <c r="H103" s="54"/>
      <c r="I103" s="56">
        <f t="shared" si="5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90</v>
      </c>
      <c r="B104" s="59">
        <f>204+13+14</f>
        <v>231</v>
      </c>
      <c r="C104" s="53">
        <v>8</v>
      </c>
      <c r="D104" s="61">
        <v>231</v>
      </c>
      <c r="E104" s="57"/>
      <c r="F104" s="57"/>
      <c r="G104" s="57"/>
      <c r="H104" s="57"/>
      <c r="I104" s="56">
        <f t="shared" si="5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5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ref="I106:I107" si="6">IF(A106&lt;&gt;0,(B106-(B105-D105))/(A106-A105),"")</f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6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Aulne à feuilles en cœur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8+1</f>
        <v>9</v>
      </c>
      <c r="C114" s="63"/>
      <c r="D114" s="63"/>
      <c r="E114" s="54"/>
      <c r="F114" s="54"/>
      <c r="G114" s="54"/>
      <c r="H114" s="54"/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33+3+1</f>
        <v>37</v>
      </c>
      <c r="C115" s="63"/>
      <c r="D115" s="63"/>
      <c r="E115" s="54"/>
      <c r="F115" s="54"/>
      <c r="G115" s="54"/>
      <c r="H115" s="54"/>
      <c r="I115" s="56">
        <f t="shared" ref="I115:I133" si="7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75+9+3+1</f>
        <v>88</v>
      </c>
      <c r="C116" s="63">
        <v>1</v>
      </c>
      <c r="D116" s="63">
        <f>9+3+1</f>
        <v>13</v>
      </c>
      <c r="E116" s="54"/>
      <c r="F116" s="54"/>
      <c r="G116" s="54"/>
      <c r="H116" s="54">
        <v>1</v>
      </c>
      <c r="I116" s="56">
        <f t="shared" si="7"/>
        <v>10.199999999999999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98+18</f>
        <v>116</v>
      </c>
      <c r="C117" s="63"/>
      <c r="D117" s="63"/>
      <c r="E117" s="54"/>
      <c r="F117" s="54"/>
      <c r="G117" s="54"/>
      <c r="H117" s="54"/>
      <c r="I117" s="56">
        <f t="shared" si="7"/>
        <v>8.1999999999999993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117+20+18</f>
        <v>155</v>
      </c>
      <c r="C118" s="63">
        <v>2</v>
      </c>
      <c r="D118" s="63">
        <f>20+18</f>
        <v>38</v>
      </c>
      <c r="E118" s="54"/>
      <c r="F118" s="54"/>
      <c r="G118" s="54"/>
      <c r="H118" s="54">
        <v>1</v>
      </c>
      <c r="I118" s="56">
        <f t="shared" si="7"/>
        <v>7.8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132+21</f>
        <v>153</v>
      </c>
      <c r="C119" s="63"/>
      <c r="D119" s="63"/>
      <c r="E119" s="54"/>
      <c r="F119" s="54"/>
      <c r="G119" s="54"/>
      <c r="H119" s="54"/>
      <c r="I119" s="56">
        <f t="shared" si="7"/>
        <v>7.2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f>145+22+21</f>
        <v>188</v>
      </c>
      <c r="C120" s="63">
        <v>3</v>
      </c>
      <c r="D120" s="63">
        <f>22+21</f>
        <v>43</v>
      </c>
      <c r="E120" s="54"/>
      <c r="F120" s="54"/>
      <c r="G120" s="54"/>
      <c r="H120" s="54"/>
      <c r="I120" s="56">
        <f t="shared" si="7"/>
        <v>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53">
        <v>177</v>
      </c>
      <c r="C121" s="53"/>
      <c r="D121" s="53"/>
      <c r="E121" s="54"/>
      <c r="F121" s="54"/>
      <c r="G121" s="54"/>
      <c r="H121" s="54"/>
      <c r="I121" s="56">
        <f t="shared" si="7"/>
        <v>6.4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50</v>
      </c>
      <c r="B122" s="53">
        <v>206</v>
      </c>
      <c r="C122" s="53">
        <v>4</v>
      </c>
      <c r="D122" s="53">
        <v>43</v>
      </c>
      <c r="E122" s="54"/>
      <c r="F122" s="54"/>
      <c r="G122" s="54"/>
      <c r="H122" s="54"/>
      <c r="I122" s="56">
        <f t="shared" si="7"/>
        <v>5.8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55</v>
      </c>
      <c r="B123" s="53">
        <v>191</v>
      </c>
      <c r="C123" s="53"/>
      <c r="D123" s="53"/>
      <c r="E123" s="54"/>
      <c r="F123" s="54"/>
      <c r="G123" s="54"/>
      <c r="H123" s="54"/>
      <c r="I123" s="56">
        <f t="shared" si="7"/>
        <v>5.6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60</v>
      </c>
      <c r="B124" s="53">
        <v>216</v>
      </c>
      <c r="C124" s="53">
        <v>5</v>
      </c>
      <c r="D124" s="53">
        <v>39</v>
      </c>
      <c r="E124" s="54"/>
      <c r="F124" s="54"/>
      <c r="G124" s="54"/>
      <c r="H124" s="54"/>
      <c r="I124" s="56">
        <f t="shared" si="7"/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65</v>
      </c>
      <c r="B125" s="53">
        <v>201</v>
      </c>
      <c r="C125" s="53"/>
      <c r="D125" s="53"/>
      <c r="E125" s="54"/>
      <c r="F125" s="54"/>
      <c r="G125" s="54"/>
      <c r="H125" s="54"/>
      <c r="I125" s="56">
        <f t="shared" si="7"/>
        <v>4.8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70</v>
      </c>
      <c r="B126" s="53">
        <v>223</v>
      </c>
      <c r="C126" s="53">
        <v>6</v>
      </c>
      <c r="D126" s="53">
        <v>35</v>
      </c>
      <c r="E126" s="54"/>
      <c r="F126" s="54"/>
      <c r="G126" s="54"/>
      <c r="H126" s="54"/>
      <c r="I126" s="56">
        <f t="shared" si="7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75</v>
      </c>
      <c r="B127" s="53">
        <v>208</v>
      </c>
      <c r="C127" s="53"/>
      <c r="D127" s="53"/>
      <c r="E127" s="54"/>
      <c r="F127" s="54"/>
      <c r="G127" s="54"/>
      <c r="H127" s="54"/>
      <c r="I127" s="56">
        <f t="shared" si="7"/>
        <v>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80</v>
      </c>
      <c r="B128" s="53">
        <v>227</v>
      </c>
      <c r="C128" s="53">
        <v>7</v>
      </c>
      <c r="D128" s="53">
        <v>31</v>
      </c>
      <c r="E128" s="54"/>
      <c r="F128" s="54"/>
      <c r="G128" s="54"/>
      <c r="H128" s="54"/>
      <c r="I128" s="56">
        <f t="shared" si="7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85</v>
      </c>
      <c r="B129" s="53">
        <v>214</v>
      </c>
      <c r="C129" s="53"/>
      <c r="D129" s="53"/>
      <c r="E129" s="54"/>
      <c r="F129" s="54"/>
      <c r="G129" s="54"/>
      <c r="H129" s="54"/>
      <c r="I129" s="56">
        <f t="shared" si="7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90</v>
      </c>
      <c r="B130" s="59">
        <v>231</v>
      </c>
      <c r="C130" s="53">
        <v>8</v>
      </c>
      <c r="D130" s="61">
        <v>231</v>
      </c>
      <c r="E130" s="57"/>
      <c r="F130" s="57"/>
      <c r="G130" s="57"/>
      <c r="H130" s="57"/>
      <c r="I130" s="56">
        <f t="shared" si="7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7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7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7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8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8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8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8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8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8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8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8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8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8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8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8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8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8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8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8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8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8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9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9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9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9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9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9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9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9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9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9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9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9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9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9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9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9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9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9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9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10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10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10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10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10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10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10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10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10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10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10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10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10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10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10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10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10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10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10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1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1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1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1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1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1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1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1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1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1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1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1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11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1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1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1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1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1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1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2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2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2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2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2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2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2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2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2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2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12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2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2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2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2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2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2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3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3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3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3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3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3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3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3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3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3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3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3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3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3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3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3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3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3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D1"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0</v>
      </c>
      <c r="C8" s="52" t="s">
        <v>177</v>
      </c>
      <c r="D8" s="25"/>
      <c r="E8" s="112">
        <v>4</v>
      </c>
      <c r="F8" s="64">
        <v>1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97" zoomScaleNormal="100" workbookViewId="0">
      <selection activeCell="BD121" sqref="BD121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Pin sylvestre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Pin laricio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Aulne glutineux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Aulne à feuilles en cœur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/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293.33333333333331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178.42783874015521</v>
      </c>
      <c r="T3" s="62">
        <f>IF('Données projet'!E9&gt;30,$R$33-$H$33,LOOKUP('Données projet'!$E$9,$A$3:$A$203,R3:R203)-LOOKUP('Données projet'!$E$9,$A$3:$A$203,$H$3:$H$203))</f>
        <v>140.03904900962556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216.16876563248064</v>
      </c>
      <c r="AO3" s="62">
        <f>IF('Données projet'!E10&gt;30,$AM$33-$H$33,LOOKUP('Données projet'!$E$10,$A$3:$A$203,AM3:AM203)-LOOKUP('Données projet'!$E$10,$A$3:$A$203,$H$3:$H$203))</f>
        <v>137.55906339137317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154.44480170404967</v>
      </c>
      <c r="BJ3" s="62">
        <f>IF('Données projet'!E11&gt;30,$BH$33-$H$33,LOOKUP('Données projet'!$E$11,$A$3:$A$203,BH3:BH203)-LOOKUP('Données projet'!$E$11,$A$3:$A$203,$H$3:$H$203))</f>
        <v>186.45728006007272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154.44480170404967</v>
      </c>
      <c r="CE3" s="62">
        <f>IF('Données projet'!E12&gt;30,$CC$33-$H$33,LOOKUP('Données projet'!$E$12,$A$3:$A$203,CC3:CC203)-LOOKUP('Données projet'!$E$12,$A$3:$A$203,$H$3:$H$203))</f>
        <v>186.45728006007272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9">
        <f t="shared" ref="H4:H67" si="1">(B4+E4+F4)*44/12+(C4+D4)*0.475*44/12</f>
        <v>294.75450271279925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3.92</v>
      </c>
      <c r="N4" s="14">
        <f>IF('Données projet'!$A$36&gt;35,N3+M4-V3,IF(A4&lt;'Données projet'!$A$36,$K$205^A4,IF(A4='Données projet'!$A$36,'Données projet'!$B$36,N3+M4-V3)))</f>
        <v>1.201293267214846</v>
      </c>
      <c r="O4" s="14">
        <f>N4*VLOOKUP('Données projet'!$B$9,Paramètres!$A$1:$I$89,3,0)*VLOOKUP('Données projet'!$B$9,Paramètres!$A$1:$I$89,5,0)</f>
        <v>0.68713974884689188</v>
      </c>
      <c r="P4" s="14">
        <f>EXP(-1.0587+0.8836*LN(O4)+0.284)</f>
        <v>0.33079968728607767</v>
      </c>
      <c r="Q4" s="22">
        <f t="shared" ref="Q4:Q34" si="2">(O4+P4)*0.475*44/12</f>
        <v>1.7729111845982548</v>
      </c>
      <c r="R4" s="62">
        <f t="shared" si="0"/>
        <v>295.10624451793154</v>
      </c>
      <c r="S4" s="62">
        <f ca="1">AVERAGE(OFFSET($R$3,0,0,'Données projet'!$E$9+1,1))-AVERAGE(OFFSET($H$3,0,0,'Données projet'!$E$9+1,1))</f>
        <v>178.42783874015521</v>
      </c>
      <c r="T4" s="62">
        <f>$T$3</f>
        <v>140.03904900962556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4.3703703703703702</v>
      </c>
      <c r="AI4" s="14">
        <f>IF('Données projet'!$A$62&gt;35,AI3+AH4-AQ3,IF(A4&lt;'Données projet'!$A$62,$AF$205^A4,IF(A4='Données projet'!$A$62,'Données projet'!$B$62,AI3+AH4-AQ3)))</f>
        <v>1.1932635389591795</v>
      </c>
      <c r="AJ4" s="14">
        <f>AI4*VLOOKUP('Données projet'!$B$10,Paramètres!$A$1:$I$89,3,0)*VLOOKUP('Données projet'!$B$10,Paramètres!$A$1:$I$89,5,0)</f>
        <v>0.71357159629758937</v>
      </c>
      <c r="AK4" s="14">
        <f>EXP(-1.0587+0.8836*LN(AJ4)+0.284)</f>
        <v>0.34201841351504586</v>
      </c>
      <c r="AL4" s="22">
        <f t="shared" ref="AL4:AL67" si="4">(AJ4+AK4)*0.475*44/12</f>
        <v>1.8384859337570063</v>
      </c>
      <c r="AM4" s="62">
        <f t="shared" ref="AM4:AM67" si="5">AL4+(AD4+AE4)*44/12</f>
        <v>295.17181926709031</v>
      </c>
      <c r="AN4" s="62">
        <f ca="1">AVERAGE(OFFSET($AM$3,0,0,'Données projet'!$E$10+1,1))-AVERAGE(OFFSET($H$3,0,0,'Données projet'!$E$10+1,1))</f>
        <v>216.16876563248064</v>
      </c>
      <c r="AO4" s="62">
        <f>$AO$3</f>
        <v>137.55906339137317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0.81620291163608694</v>
      </c>
      <c r="BF4" s="14">
        <f>EXP(-1.0587+0.8836*LN(BE4)+0.284)</f>
        <v>0.38513847027569503</v>
      </c>
      <c r="BG4" s="22">
        <f t="shared" ref="BG4:BG67" si="7">(BE4+BF4)*0.475*44/12</f>
        <v>2.0923362401630201</v>
      </c>
      <c r="BH4" s="62">
        <f t="shared" ref="BH4:BH67" si="8">BG4+(AY4+AZ4)*44/12</f>
        <v>295.42566957349635</v>
      </c>
      <c r="BI4" s="62">
        <f ca="1">AVERAGE(OFFSET($BH$3,0,0,'Données projet'!$E$11+1,1))-AVERAGE(OFFSET($H$3,0,0,'Données projet'!$E$11+1,1))</f>
        <v>154.44480170404967</v>
      </c>
      <c r="BJ4" s="62">
        <f>$BJ$3</f>
        <v>186.45728006007272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1.2457309396155174</v>
      </c>
      <c r="BZ4" s="14">
        <f>BY4*VLOOKUP('Données projet'!$B$12,Paramètres!$A$1:$I$89,3,0)*VLOOKUP('Données projet'!$B$12,Paramètres!$A$1:$I$89,5,0)</f>
        <v>0.81620291163608694</v>
      </c>
      <c r="CA4" s="14">
        <f>EXP(-1.0587+0.8836*LN(BZ4)+0.284)</f>
        <v>0.38513847027569503</v>
      </c>
      <c r="CB4" s="22">
        <f t="shared" ref="CB4:CB67" si="10">(BZ4+CA4)*0.475*44/12</f>
        <v>2.0923362401630201</v>
      </c>
      <c r="CC4" s="62">
        <f t="shared" ref="CC4:CC67" si="11">CB4+(BT4+BU4)*44/12</f>
        <v>295.42566957349635</v>
      </c>
      <c r="CD4" s="62">
        <f ca="1">AVERAGE(OFFSET($CC$3,0,0,'Données projet'!$E$12+1,1))-AVERAGE(OFFSET($H$3,0,0,'Données projet'!$E$12+1,1))</f>
        <v>154.44480170404967</v>
      </c>
      <c r="CE4" s="62">
        <f>$CE$3</f>
        <v>186.45728006007272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9">
        <f t="shared" si="1"/>
        <v>296.10277557080786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3.92</v>
      </c>
      <c r="N5" s="14">
        <f>IF('Données projet'!$A$36&gt;35,N4+M5-V4,IF(A5&lt;'Données projet'!$A$36,$K$205^A5,IF(A5='Données projet'!$A$36,'Données projet'!$B$36,N4+M5-V4)))</f>
        <v>1.4431055138557194</v>
      </c>
      <c r="O5" s="14">
        <f>N5*VLOOKUP('Données projet'!$B$9,Paramètres!$A$1:$I$89,3,0)*VLOOKUP('Données projet'!$B$9,Paramètres!$A$1:$I$89,5,0)</f>
        <v>0.82545635392547156</v>
      </c>
      <c r="P5" s="14">
        <f t="shared" ref="P5:P68" si="33">EXP(-1.0587+0.8836*LN(O5)+0.284)</f>
        <v>0.3889940735408815</v>
      </c>
      <c r="Q5" s="22">
        <f t="shared" si="2"/>
        <v>2.1151678278372312</v>
      </c>
      <c r="R5" s="62">
        <f t="shared" si="0"/>
        <v>295.44850116117055</v>
      </c>
      <c r="S5" s="62">
        <f ca="1">AVERAGE(OFFSET($R$3,0,0,'Données projet'!$E$9+1,1))-AVERAGE(OFFSET($H$3,0,0,'Données projet'!$E$9+1,1))</f>
        <v>178.42783874015521</v>
      </c>
      <c r="T5" s="62">
        <f t="shared" ref="T5:T68" si="34">$T$3</f>
        <v>140.03904900962556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4.3703703703703702</v>
      </c>
      <c r="AI5" s="14">
        <f>IF('Données projet'!$A$62&gt;35,AI4+AH5-AQ4,IF(A5&lt;'Données projet'!$A$62,$AF$205^A5,IF(A5='Données projet'!$A$62,'Données projet'!$B$62,AI4+AH5-AQ4)))</f>
        <v>1.4238778734093853</v>
      </c>
      <c r="AJ5" s="14">
        <f>AI5*VLOOKUP('Données projet'!$B$10,Paramètres!$A$1:$I$89,3,0)*VLOOKUP('Données projet'!$B$10,Paramètres!$A$1:$I$89,5,0)</f>
        <v>0.85147896829881242</v>
      </c>
      <c r="AK5" s="14">
        <f t="shared" ref="AK5:AK68" si="35">EXP(-1.0587+0.8836*LN(AJ5)+0.284)</f>
        <v>0.39981008543020569</v>
      </c>
      <c r="AL5" s="22">
        <f t="shared" si="4"/>
        <v>2.179328435244706</v>
      </c>
      <c r="AM5" s="62">
        <f t="shared" si="5"/>
        <v>295.51266176857803</v>
      </c>
      <c r="AN5" s="62">
        <f ca="1">AVERAGE(OFFSET($AM$3,0,0,'Données projet'!$E$10+1,1))-AVERAGE(OFFSET($H$3,0,0,'Données projet'!$E$10+1,1))</f>
        <v>216.16876563248064</v>
      </c>
      <c r="AO5" s="62">
        <f t="shared" ref="AO5:AO68" si="36">$AO$3</f>
        <v>137.55906339137317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1.0167692200293437</v>
      </c>
      <c r="BF5" s="14">
        <f t="shared" ref="BF5:BF68" si="37">EXP(-1.0587+0.8836*LN(BE5)+0.284)</f>
        <v>0.46766381619902025</v>
      </c>
      <c r="BG5" s="22">
        <f t="shared" si="7"/>
        <v>2.5853875380977338</v>
      </c>
      <c r="BH5" s="62">
        <f t="shared" si="8"/>
        <v>295.91872087143105</v>
      </c>
      <c r="BI5" s="62">
        <f ca="1">AVERAGE(OFFSET($BH$3,0,0,'Données projet'!$E$11+1,1))-AVERAGE(OFFSET($H$3,0,0,'Données projet'!$E$11+1,1))</f>
        <v>154.44480170404967</v>
      </c>
      <c r="BJ5" s="62">
        <f t="shared" ref="BJ5:BJ68" si="38">$BJ$3</f>
        <v>186.45728006007272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1.5518455739153598</v>
      </c>
      <c r="BZ5" s="14">
        <f>BY5*VLOOKUP('Données projet'!$B$12,Paramètres!$A$1:$I$89,3,0)*VLOOKUP('Données projet'!$B$12,Paramètres!$A$1:$I$89,5,0)</f>
        <v>1.0167692200293437</v>
      </c>
      <c r="CA5" s="14">
        <f t="shared" ref="CA5:CA68" si="39">EXP(-1.0587+0.8836*LN(BZ5)+0.284)</f>
        <v>0.46766381619902025</v>
      </c>
      <c r="CB5" s="22">
        <f t="shared" si="10"/>
        <v>2.5853875380977338</v>
      </c>
      <c r="CC5" s="62">
        <f t="shared" si="11"/>
        <v>295.91872087143105</v>
      </c>
      <c r="CD5" s="62">
        <f ca="1">AVERAGE(OFFSET($CC$3,0,0,'Données projet'!$E$12+1,1))-AVERAGE(OFFSET($H$3,0,0,'Données projet'!$E$12+1,1))</f>
        <v>154.44480170404967</v>
      </c>
      <c r="CE5" s="62">
        <f t="shared" ref="CE5:CE68" si="40">$CE$3</f>
        <v>186.45728006007272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9">
        <f t="shared" si="1"/>
        <v>297.42750651156223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3.92</v>
      </c>
      <c r="N6" s="14">
        <f>IF('Données projet'!$A$36&gt;35,N5+M6-V5,IF(A6&lt;'Données projet'!$A$36,$K$205^A6,IF(A6='Données projet'!$A$36,'Données projet'!$B$36,N5+M6-V5)))</f>
        <v>1.7335929376754964</v>
      </c>
      <c r="O6" s="14">
        <f>N6*VLOOKUP('Données projet'!$B$9,Paramètres!$A$1:$I$89,3,0)*VLOOKUP('Données projet'!$B$9,Paramètres!$A$1:$I$89,5,0)</f>
        <v>0.99161516035038388</v>
      </c>
      <c r="P6" s="14">
        <f t="shared" si="33"/>
        <v>0.45742603474431143</v>
      </c>
      <c r="Q6" s="22">
        <f t="shared" si="2"/>
        <v>2.5237467481232607</v>
      </c>
      <c r="R6" s="62">
        <f t="shared" si="0"/>
        <v>295.85708008145656</v>
      </c>
      <c r="S6" s="62">
        <f ca="1">AVERAGE(OFFSET($R$3,0,0,'Données projet'!$E$9+1,1))-AVERAGE(OFFSET($H$3,0,0,'Données projet'!$E$9+1,1))</f>
        <v>178.42783874015521</v>
      </c>
      <c r="T6" s="62">
        <f t="shared" si="34"/>
        <v>140.03904900962556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4.3703703703703702</v>
      </c>
      <c r="AI6" s="14">
        <f>IF('Données projet'!$A$62&gt;35,AI5+AH6-AQ5,IF(A6&lt;'Données projet'!$A$62,$AF$205^A6,IF(A6='Données projet'!$A$62,'Données projet'!$B$62,AI5+AH6-AQ5)))</f>
        <v>1.6990615502701536</v>
      </c>
      <c r="AJ6" s="14">
        <f>AI6*VLOOKUP('Données projet'!$B$10,Paramètres!$A$1:$I$89,3,0)*VLOOKUP('Données projet'!$B$10,Paramètres!$A$1:$I$89,5,0)</f>
        <v>1.0160388070615518</v>
      </c>
      <c r="AK6" s="14">
        <f t="shared" si="35"/>
        <v>0.46736695480483653</v>
      </c>
      <c r="AL6" s="22">
        <f t="shared" si="4"/>
        <v>2.5835983685839596</v>
      </c>
      <c r="AM6" s="62">
        <f t="shared" si="5"/>
        <v>295.91693170191729</v>
      </c>
      <c r="AN6" s="62">
        <f ca="1">AVERAGE(OFFSET($AM$3,0,0,'Données projet'!$E$10+1,1))-AVERAGE(OFFSET($H$3,0,0,'Données projet'!$E$10+1,1))</f>
        <v>216.16876563248064</v>
      </c>
      <c r="AO6" s="62">
        <f t="shared" si="36"/>
        <v>137.55906339137317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1.2666208758392912</v>
      </c>
      <c r="BF6" s="14">
        <f t="shared" si="37"/>
        <v>0.56787223780909624</v>
      </c>
      <c r="BG6" s="22">
        <f t="shared" si="7"/>
        <v>3.1950755062709413</v>
      </c>
      <c r="BH6" s="62">
        <f t="shared" si="8"/>
        <v>296.52840883960425</v>
      </c>
      <c r="BI6" s="62">
        <f ca="1">AVERAGE(OFFSET($BH$3,0,0,'Données projet'!$E$11+1,1))-AVERAGE(OFFSET($H$3,0,0,'Données projet'!$E$11+1,1))</f>
        <v>154.44480170404967</v>
      </c>
      <c r="BJ6" s="62">
        <f t="shared" si="38"/>
        <v>186.45728006007272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1.9331820449317632</v>
      </c>
      <c r="BZ6" s="14">
        <f>BY6*VLOOKUP('Données projet'!$B$12,Paramètres!$A$1:$I$89,3,0)*VLOOKUP('Données projet'!$B$12,Paramètres!$A$1:$I$89,5,0)</f>
        <v>1.2666208758392912</v>
      </c>
      <c r="CA6" s="14">
        <f t="shared" si="39"/>
        <v>0.56787223780909624</v>
      </c>
      <c r="CB6" s="22">
        <f t="shared" si="10"/>
        <v>3.1950755062709413</v>
      </c>
      <c r="CC6" s="62">
        <f t="shared" si="11"/>
        <v>296.52840883960425</v>
      </c>
      <c r="CD6" s="62">
        <f ca="1">AVERAGE(OFFSET($CC$3,0,0,'Données projet'!$E$12+1,1))-AVERAGE(OFFSET($H$3,0,0,'Données projet'!$E$12+1,1))</f>
        <v>154.44480170404967</v>
      </c>
      <c r="CE6" s="62">
        <f t="shared" si="40"/>
        <v>186.45728006007272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9">
        <f t="shared" si="1"/>
        <v>298.73772566676109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3.92</v>
      </c>
      <c r="N7" s="14">
        <f>IF('Données projet'!$A$36&gt;35,N6+M7-V6,IF(A7&lt;'Données projet'!$A$36,$K$205^A7,IF(A7='Données projet'!$A$36,'Données projet'!$B$36,N6+M7-V6)))</f>
        <v>2.08255352412078</v>
      </c>
      <c r="O7" s="14">
        <f>N7*VLOOKUP('Données projet'!$B$9,Paramètres!$A$1:$I$89,3,0)*VLOOKUP('Données projet'!$B$9,Paramètres!$A$1:$I$89,5,0)</f>
        <v>1.1912206157970862</v>
      </c>
      <c r="P7" s="14">
        <f t="shared" si="33"/>
        <v>0.53789656833914212</v>
      </c>
      <c r="Q7" s="22">
        <f t="shared" si="2"/>
        <v>3.0115457623705972</v>
      </c>
      <c r="R7" s="62">
        <f t="shared" si="0"/>
        <v>296.3448790957039</v>
      </c>
      <c r="S7" s="62">
        <f ca="1">AVERAGE(OFFSET($R$3,0,0,'Données projet'!$E$9+1,1))-AVERAGE(OFFSET($H$3,0,0,'Données projet'!$E$9+1,1))</f>
        <v>178.42783874015521</v>
      </c>
      <c r="T7" s="62">
        <f t="shared" si="34"/>
        <v>140.03904900962556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4.3703703703703702</v>
      </c>
      <c r="AI7" s="14">
        <f>IF('Données projet'!$A$62&gt;35,AI6+AH7-AQ6,IF(A7&lt;'Données projet'!$A$62,$AF$205^A7,IF(A7='Données projet'!$A$62,'Données projet'!$B$62,AI6+AH7-AQ6)))</f>
        <v>2.0274281983848335</v>
      </c>
      <c r="AJ7" s="14">
        <f>AI7*VLOOKUP('Données projet'!$B$10,Paramètres!$A$1:$I$89,3,0)*VLOOKUP('Données projet'!$B$10,Paramètres!$A$1:$I$89,5,0)</f>
        <v>1.2124020626341305</v>
      </c>
      <c r="AK7" s="14">
        <f t="shared" si="35"/>
        <v>0.54633907048269681</v>
      </c>
      <c r="AL7" s="22">
        <f t="shared" si="4"/>
        <v>3.0631408068451407</v>
      </c>
      <c r="AM7" s="62">
        <f t="shared" si="5"/>
        <v>296.39647414017844</v>
      </c>
      <c r="AN7" s="62">
        <f ca="1">AVERAGE(OFFSET($AM$3,0,0,'Données projet'!$E$10+1,1))-AVERAGE(OFFSET($H$3,0,0,'Données projet'!$E$10+1,1))</f>
        <v>216.16876563248064</v>
      </c>
      <c r="AO7" s="62">
        <f t="shared" si="36"/>
        <v>137.55906339137317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1.5778688137959096</v>
      </c>
      <c r="BF7" s="14">
        <f t="shared" si="37"/>
        <v>0.68955276697540291</v>
      </c>
      <c r="BG7" s="22">
        <f t="shared" si="7"/>
        <v>3.9490925865100355</v>
      </c>
      <c r="BH7" s="62">
        <f t="shared" si="8"/>
        <v>297.28242591984338</v>
      </c>
      <c r="BI7" s="62">
        <f ca="1">AVERAGE(OFFSET($BH$3,0,0,'Données projet'!$E$11+1,1))-AVERAGE(OFFSET($H$3,0,0,'Données projet'!$E$11+1,1))</f>
        <v>154.44480170404967</v>
      </c>
      <c r="BJ7" s="62">
        <f t="shared" si="38"/>
        <v>186.45728006007272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2.4082246852806923</v>
      </c>
      <c r="BZ7" s="14">
        <f>BY7*VLOOKUP('Données projet'!$B$12,Paramètres!$A$1:$I$89,3,0)*VLOOKUP('Données projet'!$B$12,Paramètres!$A$1:$I$89,5,0)</f>
        <v>1.5778688137959096</v>
      </c>
      <c r="CA7" s="14">
        <f t="shared" si="39"/>
        <v>0.68955276697540291</v>
      </c>
      <c r="CB7" s="22">
        <f t="shared" si="10"/>
        <v>3.9490925865100355</v>
      </c>
      <c r="CC7" s="62">
        <f t="shared" si="11"/>
        <v>297.28242591984338</v>
      </c>
      <c r="CD7" s="62">
        <f ca="1">AVERAGE(OFFSET($CC$3,0,0,'Données projet'!$E$12+1,1))-AVERAGE(OFFSET($H$3,0,0,'Données projet'!$E$12+1,1))</f>
        <v>154.44480170404967</v>
      </c>
      <c r="CE7" s="62">
        <f t="shared" si="40"/>
        <v>186.45728006007272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9">
        <f t="shared" si="1"/>
        <v>300.03752578811759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3.92</v>
      </c>
      <c r="N8" s="14">
        <f>IF('Données projet'!$A$36&gt;35,N7+M8-V7,IF(A8&lt;'Données projet'!$A$36,$K$205^A8,IF(A8='Données projet'!$A$36,'Données projet'!$B$36,N7+M8-V7)))</f>
        <v>2.5017575271408434</v>
      </c>
      <c r="O8" s="14">
        <f>N8*VLOOKUP('Données projet'!$B$9,Paramètres!$A$1:$I$89,3,0)*VLOOKUP('Données projet'!$B$9,Paramètres!$A$1:$I$89,5,0)</f>
        <v>1.4310053055245626</v>
      </c>
      <c r="P8" s="14">
        <f t="shared" si="33"/>
        <v>0.63252350381139633</v>
      </c>
      <c r="Q8" s="22">
        <f t="shared" si="2"/>
        <v>3.593979342926795</v>
      </c>
      <c r="R8" s="62">
        <f t="shared" si="0"/>
        <v>296.9273126762601</v>
      </c>
      <c r="S8" s="62">
        <f ca="1">AVERAGE(OFFSET($R$3,0,0,'Données projet'!$E$9+1,1))-AVERAGE(OFFSET($H$3,0,0,'Données projet'!$E$9+1,1))</f>
        <v>178.42783874015521</v>
      </c>
      <c r="T8" s="62">
        <f t="shared" si="34"/>
        <v>140.03904900962556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4.3703703703703702</v>
      </c>
      <c r="AI8" s="14">
        <f>IF('Données projet'!$A$62&gt;35,AI7+AH8-AQ7,IF(A8&lt;'Données projet'!$A$62,$AF$205^A8,IF(A8='Données projet'!$A$62,'Données projet'!$B$62,AI7+AH8-AQ7)))</f>
        <v>2.4192561469903198</v>
      </c>
      <c r="AJ8" s="14">
        <f>AI8*VLOOKUP('Données projet'!$B$10,Paramètres!$A$1:$I$89,3,0)*VLOOKUP('Données projet'!$B$10,Paramètres!$A$1:$I$89,5,0)</f>
        <v>1.4467151759002115</v>
      </c>
      <c r="AK8" s="14">
        <f t="shared" si="35"/>
        <v>0.63865529401953391</v>
      </c>
      <c r="AL8" s="22">
        <f t="shared" si="4"/>
        <v>3.6320202351102231</v>
      </c>
      <c r="AM8" s="62">
        <f t="shared" si="5"/>
        <v>296.96535356844356</v>
      </c>
      <c r="AN8" s="62">
        <f ca="1">AVERAGE(OFFSET($AM$3,0,0,'Données projet'!$E$10+1,1))-AVERAGE(OFFSET($H$3,0,0,'Données projet'!$E$10+1,1))</f>
        <v>216.16876563248064</v>
      </c>
      <c r="AO8" s="62">
        <f t="shared" si="36"/>
        <v>137.55906339137317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3.0000000000000004</v>
      </c>
      <c r="BE8" s="14">
        <f>BD8*VLOOKUP('Données projet'!$B$11,Paramètres!$A$1:$I$89,3,0)*VLOOKUP('Données projet'!$B$11,Paramètres!$A$1:$I$89,5,0)</f>
        <v>1.9656000000000005</v>
      </c>
      <c r="BF8" s="14">
        <f t="shared" si="37"/>
        <v>0.83730632840564978</v>
      </c>
      <c r="BG8" s="22">
        <f t="shared" si="7"/>
        <v>4.8817285219731739</v>
      </c>
      <c r="BH8" s="62">
        <f t="shared" si="8"/>
        <v>298.21506185530649</v>
      </c>
      <c r="BI8" s="62">
        <f ca="1">AVERAGE(OFFSET($BH$3,0,0,'Données projet'!$E$11+1,1))-AVERAGE(OFFSET($H$3,0,0,'Données projet'!$E$11+1,1))</f>
        <v>154.44480170404967</v>
      </c>
      <c r="BJ8" s="62">
        <f t="shared" si="38"/>
        <v>186.45728006007272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3.0000000000000004</v>
      </c>
      <c r="BZ8" s="14">
        <f>BY8*VLOOKUP('Données projet'!$B$12,Paramètres!$A$1:$I$89,3,0)*VLOOKUP('Données projet'!$B$12,Paramètres!$A$1:$I$89,5,0)</f>
        <v>1.9656000000000005</v>
      </c>
      <c r="CA8" s="14">
        <f t="shared" si="39"/>
        <v>0.83730632840564978</v>
      </c>
      <c r="CB8" s="22">
        <f t="shared" si="10"/>
        <v>4.8817285219731739</v>
      </c>
      <c r="CC8" s="62">
        <f t="shared" si="11"/>
        <v>298.21506185530649</v>
      </c>
      <c r="CD8" s="62">
        <f ca="1">AVERAGE(OFFSET($CC$3,0,0,'Données projet'!$E$12+1,1))-AVERAGE(OFFSET($H$3,0,0,'Données projet'!$E$12+1,1))</f>
        <v>154.44480170404967</v>
      </c>
      <c r="CE8" s="62">
        <f t="shared" si="40"/>
        <v>186.45728006007272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9">
        <f t="shared" si="1"/>
        <v>301.3292415520861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3.92</v>
      </c>
      <c r="N9" s="14">
        <f>IF('Données projet'!$A$36&gt;35,N8+M9-V8,IF(A9&lt;'Données projet'!$A$36,$K$205^A9,IF(A9='Données projet'!$A$36,'Données projet'!$B$36,N8+M9-V8)))</f>
        <v>3.0053444735583574</v>
      </c>
      <c r="O9" s="14">
        <f>N9*VLOOKUP('Données projet'!$B$9,Paramètres!$A$1:$I$89,3,0)*VLOOKUP('Données projet'!$B$9,Paramètres!$A$1:$I$89,5,0)</f>
        <v>1.7190570388753805</v>
      </c>
      <c r="P9" s="14">
        <f t="shared" si="33"/>
        <v>0.74379723988421598</v>
      </c>
      <c r="Q9" s="22">
        <f t="shared" si="2"/>
        <v>4.2894712021729635</v>
      </c>
      <c r="R9" s="62">
        <f t="shared" si="0"/>
        <v>297.6228045355063</v>
      </c>
      <c r="S9" s="62">
        <f ca="1">AVERAGE(OFFSET($R$3,0,0,'Données projet'!$E$9+1,1))-AVERAGE(OFFSET($H$3,0,0,'Données projet'!$E$9+1,1))</f>
        <v>178.42783874015521</v>
      </c>
      <c r="T9" s="62">
        <f t="shared" si="34"/>
        <v>140.03904900962556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4.3703703703703702</v>
      </c>
      <c r="AI9" s="14">
        <f>IF('Données projet'!$A$62&gt;35,AI8+AH9-AQ8,IF(A9&lt;'Données projet'!$A$62,$AF$205^A9,IF(A9='Données projet'!$A$62,'Données projet'!$B$62,AI8+AH9-AQ8)))</f>
        <v>2.8868101516064182</v>
      </c>
      <c r="AJ9" s="14">
        <f>AI9*VLOOKUP('Données projet'!$B$10,Paramètres!$A$1:$I$89,3,0)*VLOOKUP('Données projet'!$B$10,Paramètres!$A$1:$I$89,5,0)</f>
        <v>1.7263124706606381</v>
      </c>
      <c r="AK9" s="14">
        <f t="shared" si="35"/>
        <v>0.7465704113359678</v>
      </c>
      <c r="AL9" s="22">
        <f t="shared" si="4"/>
        <v>4.3069376861440878</v>
      </c>
      <c r="AM9" s="62">
        <f t="shared" si="5"/>
        <v>297.64027101947738</v>
      </c>
      <c r="AN9" s="62">
        <f ca="1">AVERAGE(OFFSET($AM$3,0,0,'Données projet'!$E$10+1,1))-AVERAGE(OFFSET($H$3,0,0,'Données projet'!$E$10+1,1))</f>
        <v>216.16876563248064</v>
      </c>
      <c r="AO9" s="62">
        <f t="shared" si="36"/>
        <v>137.55906339137317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3.7371928188465526</v>
      </c>
      <c r="BE9" s="14">
        <f>BD9*VLOOKUP('Données projet'!$B$11,Paramètres!$A$1:$I$89,3,0)*VLOOKUP('Données projet'!$B$11,Paramètres!$A$1:$I$89,5,0)</f>
        <v>2.448608734908261</v>
      </c>
      <c r="BF9" s="14">
        <f t="shared" si="37"/>
        <v>1.0167197075625076</v>
      </c>
      <c r="BG9" s="22">
        <f t="shared" si="7"/>
        <v>6.035447037303256</v>
      </c>
      <c r="BH9" s="62">
        <f t="shared" si="8"/>
        <v>299.36878037063656</v>
      </c>
      <c r="BI9" s="62">
        <f ca="1">AVERAGE(OFFSET($BH$3,0,0,'Données projet'!$E$11+1,1))-AVERAGE(OFFSET($H$3,0,0,'Données projet'!$E$11+1,1))</f>
        <v>154.44480170404967</v>
      </c>
      <c r="BJ9" s="62">
        <f t="shared" si="38"/>
        <v>186.45728006007272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3.7371928188465526</v>
      </c>
      <c r="BZ9" s="14">
        <f>BY9*VLOOKUP('Données projet'!$B$12,Paramètres!$A$1:$I$89,3,0)*VLOOKUP('Données projet'!$B$12,Paramètres!$A$1:$I$89,5,0)</f>
        <v>2.448608734908261</v>
      </c>
      <c r="CA9" s="14">
        <f t="shared" si="39"/>
        <v>1.0167197075625076</v>
      </c>
      <c r="CB9" s="22">
        <f t="shared" si="10"/>
        <v>6.035447037303256</v>
      </c>
      <c r="CC9" s="62">
        <f t="shared" si="11"/>
        <v>299.36878037063656</v>
      </c>
      <c r="CD9" s="62">
        <f ca="1">AVERAGE(OFFSET($CC$3,0,0,'Données projet'!$E$12+1,1))-AVERAGE(OFFSET($H$3,0,0,'Données projet'!$E$12+1,1))</f>
        <v>154.44480170404967</v>
      </c>
      <c r="CE9" s="62">
        <f t="shared" si="40"/>
        <v>186.45728006007272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9">
        <f t="shared" si="1"/>
        <v>302.6143780343051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3.92</v>
      </c>
      <c r="N10" s="14">
        <f>IF('Données projet'!$A$36&gt;35,N9+M10-V9,IF(A10&lt;'Données projet'!$A$36,$K$205^A10,IF(A10='Données projet'!$A$36,'Données projet'!$B$36,N9+M10-V9)))</f>
        <v>3.6103000817470008</v>
      </c>
      <c r="O10" s="14">
        <f>N10*VLOOKUP('Données projet'!$B$9,Paramètres!$A$1:$I$89,3,0)*VLOOKUP('Données projet'!$B$9,Paramètres!$A$1:$I$89,5,0)</f>
        <v>2.0650916467592846</v>
      </c>
      <c r="P10" s="14">
        <f t="shared" si="33"/>
        <v>0.87464628701661573</v>
      </c>
      <c r="Q10" s="22">
        <f t="shared" si="2"/>
        <v>5.1200435679930258</v>
      </c>
      <c r="R10" s="62">
        <f t="shared" si="0"/>
        <v>298.45337690132635</v>
      </c>
      <c r="S10" s="62">
        <f ca="1">AVERAGE(OFFSET($R$3,0,0,'Données projet'!$E$9+1,1))-AVERAGE(OFFSET($H$3,0,0,'Données projet'!$E$9+1,1))</f>
        <v>178.42783874015521</v>
      </c>
      <c r="T10" s="62">
        <f t="shared" si="34"/>
        <v>140.03904900962556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4.3703703703703702</v>
      </c>
      <c r="AI10" s="14">
        <f>IF('Données projet'!$A$62&gt;35,AI9+AH10-AQ9,IF(A10&lt;'Données projet'!$A$62,$AF$205^A10,IF(A10='Données projet'!$A$62,'Données projet'!$B$62,AI9+AH10-AQ9)))</f>
        <v>3.4447252978091596</v>
      </c>
      <c r="AJ10" s="14">
        <f>AI10*VLOOKUP('Données projet'!$B$10,Paramètres!$A$1:$I$89,3,0)*VLOOKUP('Données projet'!$B$10,Paramètres!$A$1:$I$89,5,0)</f>
        <v>2.0599457280898776</v>
      </c>
      <c r="AK10" s="14">
        <f t="shared" si="35"/>
        <v>0.87272020493939328</v>
      </c>
      <c r="AL10" s="22">
        <f t="shared" si="4"/>
        <v>5.1077265000259793</v>
      </c>
      <c r="AM10" s="62">
        <f t="shared" si="5"/>
        <v>298.4410598333593</v>
      </c>
      <c r="AN10" s="62">
        <f ca="1">AVERAGE(OFFSET($AM$3,0,0,'Données projet'!$E$10+1,1))-AVERAGE(OFFSET($H$3,0,0,'Données projet'!$E$10+1,1))</f>
        <v>216.16876563248064</v>
      </c>
      <c r="AO10" s="62">
        <f t="shared" si="36"/>
        <v>137.55906339137317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4.6555367217460804</v>
      </c>
      <c r="BE10" s="14">
        <f>BD10*VLOOKUP('Données projet'!$B$11,Paramètres!$A$1:$I$89,3,0)*VLOOKUP('Données projet'!$B$11,Paramètres!$A$1:$I$89,5,0)</f>
        <v>3.0503076600880319</v>
      </c>
      <c r="BF10" s="14">
        <f t="shared" si="37"/>
        <v>1.2345767954654534</v>
      </c>
      <c r="BG10" s="22">
        <f t="shared" si="7"/>
        <v>7.4628404267556538</v>
      </c>
      <c r="BH10" s="62">
        <f t="shared" si="8"/>
        <v>300.79617376008895</v>
      </c>
      <c r="BI10" s="62">
        <f ca="1">AVERAGE(OFFSET($BH$3,0,0,'Données projet'!$E$11+1,1))-AVERAGE(OFFSET($H$3,0,0,'Données projet'!$E$11+1,1))</f>
        <v>154.44480170404967</v>
      </c>
      <c r="BJ10" s="62">
        <f t="shared" si="38"/>
        <v>186.45728006007272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4.6555367217460804</v>
      </c>
      <c r="BZ10" s="14">
        <f>BY10*VLOOKUP('Données projet'!$B$12,Paramètres!$A$1:$I$89,3,0)*VLOOKUP('Données projet'!$B$12,Paramètres!$A$1:$I$89,5,0)</f>
        <v>3.0503076600880319</v>
      </c>
      <c r="CA10" s="14">
        <f t="shared" si="39"/>
        <v>1.2345767954654534</v>
      </c>
      <c r="CB10" s="22">
        <f t="shared" si="10"/>
        <v>7.4628404267556538</v>
      </c>
      <c r="CC10" s="62">
        <f t="shared" si="11"/>
        <v>300.79617376008895</v>
      </c>
      <c r="CD10" s="62">
        <f ca="1">AVERAGE(OFFSET($CC$3,0,0,'Données projet'!$E$12+1,1))-AVERAGE(OFFSET($H$3,0,0,'Données projet'!$E$12+1,1))</f>
        <v>154.44480170404967</v>
      </c>
      <c r="CE10" s="62">
        <f t="shared" si="40"/>
        <v>186.45728006007272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9">
        <f t="shared" si="1"/>
        <v>303.89398357937728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3.92</v>
      </c>
      <c r="N11" s="14">
        <f>IF('Données projet'!$A$36&gt;35,N10+M11-V10,IF(A11&lt;'Données projet'!$A$36,$K$205^A11,IF(A11='Données projet'!$A$36,'Données projet'!$B$36,N10+M11-V10)))</f>
        <v>4.33702918082788</v>
      </c>
      <c r="O11" s="14">
        <f>N11*VLOOKUP('Données projet'!$B$9,Paramètres!$A$1:$I$89,3,0)*VLOOKUP('Données projet'!$B$9,Paramètres!$A$1:$I$89,5,0)</f>
        <v>2.4807806914335475</v>
      </c>
      <c r="P11" s="14">
        <f t="shared" si="33"/>
        <v>1.0285143401594736</v>
      </c>
      <c r="Q11" s="22">
        <f t="shared" si="2"/>
        <v>6.1120221800245114</v>
      </c>
      <c r="R11" s="62">
        <f t="shared" si="0"/>
        <v>299.44535551335781</v>
      </c>
      <c r="S11" s="62">
        <f ca="1">AVERAGE(OFFSET($R$3,0,0,'Données projet'!$E$9+1,1))-AVERAGE(OFFSET($H$3,0,0,'Données projet'!$E$9+1,1))</f>
        <v>178.42783874015521</v>
      </c>
      <c r="T11" s="62">
        <f t="shared" si="34"/>
        <v>140.03904900962556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4.3703703703703702</v>
      </c>
      <c r="AI11" s="14">
        <f>IF('Données projet'!$A$62&gt;35,AI10+AH11-AQ10,IF(A11&lt;'Données projet'!$A$62,$AF$205^A11,IF(A11='Données projet'!$A$62,'Données projet'!$B$62,AI10+AH11-AQ10)))</f>
        <v>4.110465099605972</v>
      </c>
      <c r="AJ11" s="14">
        <f>AI11*VLOOKUP('Données projet'!$B$10,Paramètres!$A$1:$I$89,3,0)*VLOOKUP('Données projet'!$B$10,Paramètres!$A$1:$I$89,5,0)</f>
        <v>2.4580581295643715</v>
      </c>
      <c r="AK11" s="14">
        <f t="shared" si="35"/>
        <v>1.0201858318313493</v>
      </c>
      <c r="AL11" s="22">
        <f t="shared" si="4"/>
        <v>6.0579415660975471</v>
      </c>
      <c r="AM11" s="62">
        <f t="shared" si="5"/>
        <v>299.39127489943087</v>
      </c>
      <c r="AN11" s="62">
        <f ca="1">AVERAGE(OFFSET($AM$3,0,0,'Données projet'!$E$10+1,1))-AVERAGE(OFFSET($H$3,0,0,'Données projet'!$E$10+1,1))</f>
        <v>216.16876563248064</v>
      </c>
      <c r="AO11" s="62">
        <f t="shared" si="36"/>
        <v>137.55906339137317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5.7995461347952899</v>
      </c>
      <c r="BE11" s="14">
        <f>BD11*VLOOKUP('Données projet'!$B$11,Paramètres!$A$1:$I$89,3,0)*VLOOKUP('Données projet'!$B$11,Paramètres!$A$1:$I$89,5,0)</f>
        <v>3.7998626275178737</v>
      </c>
      <c r="BF11" s="14">
        <f t="shared" si="37"/>
        <v>1.4991150978629391</v>
      </c>
      <c r="BG11" s="22">
        <f t="shared" si="7"/>
        <v>9.2290528717049156</v>
      </c>
      <c r="BH11" s="62">
        <f t="shared" si="8"/>
        <v>302.56238620503825</v>
      </c>
      <c r="BI11" s="62">
        <f ca="1">AVERAGE(OFFSET($BH$3,0,0,'Données projet'!$E$11+1,1))-AVERAGE(OFFSET($H$3,0,0,'Données projet'!$E$11+1,1))</f>
        <v>154.44480170404967</v>
      </c>
      <c r="BJ11" s="62">
        <f t="shared" si="38"/>
        <v>186.45728006007272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5.7995461347952899</v>
      </c>
      <c r="BZ11" s="14">
        <f>BY11*VLOOKUP('Données projet'!$B$12,Paramètres!$A$1:$I$89,3,0)*VLOOKUP('Données projet'!$B$12,Paramètres!$A$1:$I$89,5,0)</f>
        <v>3.7998626275178737</v>
      </c>
      <c r="CA11" s="14">
        <f t="shared" si="39"/>
        <v>1.4991150978629391</v>
      </c>
      <c r="CB11" s="22">
        <f t="shared" si="10"/>
        <v>9.2290528717049156</v>
      </c>
      <c r="CC11" s="62">
        <f t="shared" si="11"/>
        <v>302.56238620503825</v>
      </c>
      <c r="CD11" s="62">
        <f ca="1">AVERAGE(OFFSET($CC$3,0,0,'Données projet'!$E$12+1,1))-AVERAGE(OFFSET($H$3,0,0,'Données projet'!$E$12+1,1))</f>
        <v>154.44480170404967</v>
      </c>
      <c r="CE11" s="62">
        <f t="shared" si="40"/>
        <v>186.45728006007272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9">
        <f t="shared" si="1"/>
        <v>305.16882873392143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3.92</v>
      </c>
      <c r="N12" s="14">
        <f>IF('Données projet'!$A$36&gt;35,N11+M12-V11,IF(A12&lt;'Données projet'!$A$36,$K$205^A12,IF(A12='Données projet'!$A$36,'Données projet'!$B$36,N11+M12-V11)))</f>
        <v>5.2100439546428507</v>
      </c>
      <c r="O12" s="14">
        <f>N12*VLOOKUP('Données projet'!$B$9,Paramètres!$A$1:$I$89,3,0)*VLOOKUP('Données projet'!$B$9,Paramètres!$A$1:$I$89,5,0)</f>
        <v>2.980145142055711</v>
      </c>
      <c r="P12" s="14">
        <f t="shared" si="33"/>
        <v>1.2094509101752824</v>
      </c>
      <c r="Q12" s="22">
        <f t="shared" si="2"/>
        <v>7.2968797909689798</v>
      </c>
      <c r="R12" s="62">
        <f t="shared" si="0"/>
        <v>300.63021312430232</v>
      </c>
      <c r="S12" s="62">
        <f ca="1">AVERAGE(OFFSET($R$3,0,0,'Données projet'!$E$9+1,1))-AVERAGE(OFFSET($H$3,0,0,'Données projet'!$E$9+1,1))</f>
        <v>178.42783874015521</v>
      </c>
      <c r="T12" s="62">
        <f t="shared" si="34"/>
        <v>140.03904900962556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4.3703703703703702</v>
      </c>
      <c r="AI12" s="14">
        <f>IF('Données projet'!$A$62&gt;35,AI11+AH12-AQ11,IF(A12&lt;'Données projet'!$A$62,$AF$205^A12,IF(A12='Données projet'!$A$62,'Données projet'!$B$62,AI11+AH12-AQ11)))</f>
        <v>4.9048681315240179</v>
      </c>
      <c r="AJ12" s="14">
        <f>AI12*VLOOKUP('Données projet'!$B$10,Paramètres!$A$1:$I$89,3,0)*VLOOKUP('Données projet'!$B$10,Paramètres!$A$1:$I$89,5,0)</f>
        <v>2.9331111426513625</v>
      </c>
      <c r="AK12" s="14">
        <f t="shared" si="35"/>
        <v>1.192569079504352</v>
      </c>
      <c r="AL12" s="22">
        <f t="shared" si="4"/>
        <v>7.1855597202545356</v>
      </c>
      <c r="AM12" s="62">
        <f t="shared" si="5"/>
        <v>300.51889305358787</v>
      </c>
      <c r="AN12" s="62">
        <f ca="1">AVERAGE(OFFSET($AM$3,0,0,'Données projet'!$E$10+1,1))-AVERAGE(OFFSET($H$3,0,0,'Données projet'!$E$10+1,1))</f>
        <v>216.16876563248064</v>
      </c>
      <c r="AO12" s="62">
        <f t="shared" si="36"/>
        <v>137.55906339137317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7.2246740558420788</v>
      </c>
      <c r="BE12" s="14">
        <f>BD12*VLOOKUP('Données projet'!$B$11,Paramètres!$A$1:$I$89,3,0)*VLOOKUP('Données projet'!$B$11,Paramètres!$A$1:$I$89,5,0)</f>
        <v>4.7336064413877299</v>
      </c>
      <c r="BF12" s="14">
        <f t="shared" si="37"/>
        <v>1.8203372077743676</v>
      </c>
      <c r="BG12" s="22">
        <f t="shared" si="7"/>
        <v>11.414785188957319</v>
      </c>
      <c r="BH12" s="62">
        <f t="shared" si="8"/>
        <v>304.74811852229061</v>
      </c>
      <c r="BI12" s="62">
        <f ca="1">AVERAGE(OFFSET($BH$3,0,0,'Données projet'!$E$11+1,1))-AVERAGE(OFFSET($H$3,0,0,'Données projet'!$E$11+1,1))</f>
        <v>154.44480170404967</v>
      </c>
      <c r="BJ12" s="62">
        <f t="shared" si="38"/>
        <v>186.45728006007272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7.2246740558420788</v>
      </c>
      <c r="BZ12" s="14">
        <f>BY12*VLOOKUP('Données projet'!$B$12,Paramètres!$A$1:$I$89,3,0)*VLOOKUP('Données projet'!$B$12,Paramètres!$A$1:$I$89,5,0)</f>
        <v>4.7336064413877299</v>
      </c>
      <c r="CA12" s="14">
        <f t="shared" si="39"/>
        <v>1.8203372077743676</v>
      </c>
      <c r="CB12" s="22">
        <f t="shared" si="10"/>
        <v>11.414785188957319</v>
      </c>
      <c r="CC12" s="62">
        <f t="shared" si="11"/>
        <v>304.74811852229061</v>
      </c>
      <c r="CD12" s="62">
        <f ca="1">AVERAGE(OFFSET($CC$3,0,0,'Données projet'!$E$12+1,1))-AVERAGE(OFFSET($H$3,0,0,'Données projet'!$E$12+1,1))</f>
        <v>154.44480170404967</v>
      </c>
      <c r="CE12" s="62">
        <f t="shared" si="40"/>
        <v>186.45728006007272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9">
        <f t="shared" si="1"/>
        <v>306.43950276659285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3.92</v>
      </c>
      <c r="N13" s="14">
        <f>IF('Données projet'!$A$36&gt;35,N12+M13-V12,IF(A13&lt;'Données projet'!$A$36,$K$205^A13,IF(A13='Données projet'!$A$36,'Données projet'!$B$36,N12+M13-V12)))</f>
        <v>6.2587907246058672</v>
      </c>
      <c r="O13" s="14">
        <f>N13*VLOOKUP('Données projet'!$B$9,Paramètres!$A$1:$I$89,3,0)*VLOOKUP('Données projet'!$B$9,Paramètres!$A$1:$I$89,5,0)</f>
        <v>3.5800282944745563</v>
      </c>
      <c r="P13" s="14">
        <f t="shared" si="33"/>
        <v>1.422217899166105</v>
      </c>
      <c r="Q13" s="22">
        <f t="shared" si="2"/>
        <v>8.712245453924151</v>
      </c>
      <c r="R13" s="62">
        <f t="shared" si="0"/>
        <v>302.04557878725745</v>
      </c>
      <c r="S13" s="62">
        <f ca="1">AVERAGE(OFFSET($R$3,0,0,'Données projet'!$E$9+1,1))-AVERAGE(OFFSET($H$3,0,0,'Données projet'!$E$9+1,1))</f>
        <v>178.42783874015521</v>
      </c>
      <c r="T13" s="62">
        <f t="shared" si="34"/>
        <v>140.03904900962556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4.3703703703703702</v>
      </c>
      <c r="AI13" s="14">
        <f>IF('Données projet'!$A$62&gt;35,AI12+AH13-AQ12,IF(A13&lt;'Données projet'!$A$62,$AF$205^A13,IF(A13='Données projet'!$A$62,'Données projet'!$B$62,AI12+AH13-AQ12)))</f>
        <v>5.8528003047504482</v>
      </c>
      <c r="AJ13" s="14">
        <f>AI13*VLOOKUP('Données projet'!$B$10,Paramètres!$A$1:$I$89,3,0)*VLOOKUP('Données projet'!$B$10,Paramètres!$A$1:$I$89,5,0)</f>
        <v>3.499974582240768</v>
      </c>
      <c r="AK13" s="14">
        <f t="shared" si="35"/>
        <v>1.3940803381250744</v>
      </c>
      <c r="AL13" s="22">
        <f t="shared" si="4"/>
        <v>8.5238123196371749</v>
      </c>
      <c r="AM13" s="62">
        <f t="shared" si="5"/>
        <v>301.85714565297047</v>
      </c>
      <c r="AN13" s="62">
        <f ca="1">AVERAGE(OFFSET($AM$3,0,0,'Données projet'!$E$10+1,1))-AVERAGE(OFFSET($H$3,0,0,'Données projet'!$E$10+1,1))</f>
        <v>216.16876563248064</v>
      </c>
      <c r="AO13" s="62">
        <f t="shared" si="36"/>
        <v>137.55906339137317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9</v>
      </c>
      <c r="BB13" s="13">
        <f>VLOOKUP(A13,'Données projet'!$A$87:$I$107,9,0)</f>
        <v>0.9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9</v>
      </c>
      <c r="BE13" s="14">
        <f>BD13*VLOOKUP('Données projet'!$B$11,Paramètres!$A$1:$I$89,3,0)*VLOOKUP('Données projet'!$B$11,Paramètres!$A$1:$I$89,5,0)</f>
        <v>5.8967999999999998</v>
      </c>
      <c r="BF13" s="14">
        <f t="shared" si="37"/>
        <v>2.210389018649412</v>
      </c>
      <c r="BG13" s="22">
        <f t="shared" si="7"/>
        <v>14.120020874147725</v>
      </c>
      <c r="BH13" s="62">
        <f t="shared" si="8"/>
        <v>307.45335420748103</v>
      </c>
      <c r="BI13" s="62">
        <f ca="1">AVERAGE(OFFSET($BH$3,0,0,'Données projet'!$E$11+1,1))-AVERAGE(OFFSET($H$3,0,0,'Données projet'!$E$11+1,1))</f>
        <v>154.44480170404967</v>
      </c>
      <c r="BJ13" s="62">
        <f t="shared" si="38"/>
        <v>186.45728006007272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9</v>
      </c>
      <c r="BW13" s="13">
        <f>VLOOKUP(A13,'Données projet'!$A$113:$I$133,9,0)</f>
        <v>0.9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9</v>
      </c>
      <c r="BZ13" s="14">
        <f>BY13*VLOOKUP('Données projet'!$B$12,Paramètres!$A$1:$I$89,3,0)*VLOOKUP('Données projet'!$B$12,Paramètres!$A$1:$I$89,5,0)</f>
        <v>5.8967999999999998</v>
      </c>
      <c r="CA13" s="14">
        <f t="shared" si="39"/>
        <v>2.210389018649412</v>
      </c>
      <c r="CB13" s="22">
        <f t="shared" si="10"/>
        <v>14.120020874147725</v>
      </c>
      <c r="CC13" s="62">
        <f t="shared" si="11"/>
        <v>307.45335420748103</v>
      </c>
      <c r="CD13" s="62">
        <f ca="1">AVERAGE(OFFSET($CC$3,0,0,'Données projet'!$E$12+1,1))-AVERAGE(OFFSET($H$3,0,0,'Données projet'!$E$12+1,1))</f>
        <v>154.44480170404967</v>
      </c>
      <c r="CE13" s="62">
        <f t="shared" si="40"/>
        <v>186.45728006007272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9">
        <f t="shared" si="1"/>
        <v>307.70647027243518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3.92</v>
      </c>
      <c r="N14" s="14">
        <f>IF('Données projet'!$A$36&gt;35,N13+M14-V13,IF(A14&lt;'Données projet'!$A$36,$K$205^A14,IF(A14='Données projet'!$A$36,'Données projet'!$B$36,N13+M14-V13)))</f>
        <v>7.518643158375756</v>
      </c>
      <c r="O14" s="14">
        <f>N14*VLOOKUP('Données projet'!$B$9,Paramètres!$A$1:$I$89,3,0)*VLOOKUP('Données projet'!$B$9,Paramètres!$A$1:$I$89,5,0)</f>
        <v>4.3006638865909332</v>
      </c>
      <c r="P14" s="14">
        <f t="shared" si="33"/>
        <v>1.6724149245671369</v>
      </c>
      <c r="Q14" s="22">
        <f t="shared" si="2"/>
        <v>10.403112262766973</v>
      </c>
      <c r="R14" s="62">
        <f t="shared" si="0"/>
        <v>303.73644559610028</v>
      </c>
      <c r="S14" s="62">
        <f ca="1">AVERAGE(OFFSET($R$3,0,0,'Données projet'!$E$9+1,1))-AVERAGE(OFFSET($H$3,0,0,'Données projet'!$E$9+1,1))</f>
        <v>178.42783874015521</v>
      </c>
      <c r="T14" s="62">
        <f t="shared" si="34"/>
        <v>140.03904900962556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4.3703703703703702</v>
      </c>
      <c r="AI14" s="14">
        <f>IF('Données projet'!$A$62&gt;35,AI13+AH14-AQ13,IF(A14&lt;'Données projet'!$A$62,$AF$205^A14,IF(A14='Données projet'!$A$62,'Données projet'!$B$62,AI13+AH14-AQ13)))</f>
        <v>6.9839332044678839</v>
      </c>
      <c r="AJ14" s="14">
        <f>AI14*VLOOKUP('Données projet'!$B$10,Paramètres!$A$1:$I$89,3,0)*VLOOKUP('Données projet'!$B$10,Paramètres!$A$1:$I$89,5,0)</f>
        <v>4.1763920562717951</v>
      </c>
      <c r="AK14" s="14">
        <f t="shared" si="35"/>
        <v>1.629641437588379</v>
      </c>
      <c r="AL14" s="22">
        <f t="shared" si="4"/>
        <v>10.112175001806468</v>
      </c>
      <c r="AM14" s="62">
        <f t="shared" si="5"/>
        <v>303.44550833513978</v>
      </c>
      <c r="AN14" s="62">
        <f ca="1">AVERAGE(OFFSET($AM$3,0,0,'Données projet'!$E$10+1,1))-AVERAGE(OFFSET($H$3,0,0,'Données projet'!$E$10+1,1))</f>
        <v>216.16876563248064</v>
      </c>
      <c r="AO14" s="62">
        <f t="shared" si="36"/>
        <v>137.55906339137317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5.6</v>
      </c>
      <c r="BD14" s="13">
        <f>IF('Données projet'!$A$88&gt;35,BD13+BC14-BL13,IF(A14&lt;'Données projet'!$A$88,$BA$205^A14,IF(A14='Données projet'!$A$88,'Données projet'!$B$88,BD13+BC14-BL13)))</f>
        <v>14.6</v>
      </c>
      <c r="BE14" s="14">
        <f>BD14*VLOOKUP('Données projet'!$B$11,Paramètres!$A$1:$I$89,3,0)*VLOOKUP('Données projet'!$B$11,Paramètres!$A$1:$I$89,5,0)</f>
        <v>9.5659200000000002</v>
      </c>
      <c r="BF14" s="14">
        <f t="shared" si="37"/>
        <v>3.3893952488696248</v>
      </c>
      <c r="BG14" s="22">
        <f t="shared" si="7"/>
        <v>22.563840725114591</v>
      </c>
      <c r="BH14" s="62">
        <f t="shared" si="8"/>
        <v>315.89717405844789</v>
      </c>
      <c r="BI14" s="62">
        <f ca="1">AVERAGE(OFFSET($BH$3,0,0,'Données projet'!$E$11+1,1))-AVERAGE(OFFSET($H$3,0,0,'Données projet'!$E$11+1,1))</f>
        <v>154.44480170404967</v>
      </c>
      <c r="BJ14" s="62">
        <f t="shared" si="38"/>
        <v>186.45728006007272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5.6</v>
      </c>
      <c r="BY14" s="13">
        <f>IF('Données projet'!$A$114&gt;35,BY13+BX14-CG13,IF(A14&lt;'Données projet'!$A$114,$BV$205^A14,IF(A14='Données projet'!$A$114,'Données projet'!$B$114,BY13+BX14-CG13)))</f>
        <v>14.6</v>
      </c>
      <c r="BZ14" s="14">
        <f>BY14*VLOOKUP('Données projet'!$B$12,Paramètres!$A$1:$I$89,3,0)*VLOOKUP('Données projet'!$B$12,Paramètres!$A$1:$I$89,5,0)</f>
        <v>9.5659200000000002</v>
      </c>
      <c r="CA14" s="14">
        <f t="shared" si="39"/>
        <v>3.3893952488696248</v>
      </c>
      <c r="CB14" s="22">
        <f t="shared" si="10"/>
        <v>22.563840725114591</v>
      </c>
      <c r="CC14" s="62">
        <f t="shared" si="11"/>
        <v>315.89717405844789</v>
      </c>
      <c r="CD14" s="62">
        <f ca="1">AVERAGE(OFFSET($CC$3,0,0,'Données projet'!$E$12+1,1))-AVERAGE(OFFSET($H$3,0,0,'Données projet'!$E$12+1,1))</f>
        <v>154.44480170404967</v>
      </c>
      <c r="CE14" s="62">
        <f t="shared" si="40"/>
        <v>186.45728006007272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9">
        <f t="shared" si="1"/>
        <v>308.97010652964002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3.92</v>
      </c>
      <c r="N15" s="14">
        <f>IF('Données projet'!$A$36&gt;35,N14+M15-V14,IF(A15&lt;'Données projet'!$A$36,$K$205^A15,IF(A15='Données projet'!$A$36,'Données projet'!$B$36,N14+M15-V14)))</f>
        <v>9.0320954047477606</v>
      </c>
      <c r="O15" s="14">
        <f>N15*VLOOKUP('Données projet'!$B$9,Paramètres!$A$1:$I$89,3,0)*VLOOKUP('Données projet'!$B$9,Paramètres!$A$1:$I$89,5,0)</f>
        <v>5.1663585715157199</v>
      </c>
      <c r="P15" s="14">
        <f t="shared" si="33"/>
        <v>1.9666266902946876</v>
      </c>
      <c r="Q15" s="22">
        <f t="shared" si="2"/>
        <v>12.423282664319792</v>
      </c>
      <c r="R15" s="62">
        <f t="shared" si="0"/>
        <v>305.75661599765311</v>
      </c>
      <c r="S15" s="62">
        <f ca="1">AVERAGE(OFFSET($R$3,0,0,'Données projet'!$E$9+1,1))-AVERAGE(OFFSET($H$3,0,0,'Données projet'!$E$9+1,1))</f>
        <v>178.42783874015521</v>
      </c>
      <c r="T15" s="62">
        <f t="shared" si="34"/>
        <v>140.03904900962556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4.3703703703703702</v>
      </c>
      <c r="AI15" s="14">
        <f>IF('Données projet'!$A$62&gt;35,AI14+AH15-AQ14,IF(A15&lt;'Données projet'!$A$62,$AF$205^A15,IF(A15='Données projet'!$A$62,'Données projet'!$B$62,AI14+AH15-AQ14)))</f>
        <v>8.3336728514178713</v>
      </c>
      <c r="AJ15" s="14">
        <f>AI15*VLOOKUP('Données projet'!$B$10,Paramètres!$A$1:$I$89,3,0)*VLOOKUP('Données projet'!$B$10,Paramètres!$A$1:$I$89,5,0)</f>
        <v>4.983536365147887</v>
      </c>
      <c r="AK15" s="14">
        <f t="shared" si="35"/>
        <v>1.9050058611951031</v>
      </c>
      <c r="AL15" s="22">
        <f t="shared" si="4"/>
        <v>11.997544377547372</v>
      </c>
      <c r="AM15" s="62">
        <f t="shared" si="5"/>
        <v>305.33087771088071</v>
      </c>
      <c r="AN15" s="62">
        <f ca="1">AVERAGE(OFFSET($AM$3,0,0,'Données projet'!$E$10+1,1))-AVERAGE(OFFSET($H$3,0,0,'Données projet'!$E$10+1,1))</f>
        <v>216.16876563248064</v>
      </c>
      <c r="AO15" s="62">
        <f t="shared" si="36"/>
        <v>137.55906339137317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5.6</v>
      </c>
      <c r="BD15" s="13">
        <f>IF('Données projet'!$A$88&gt;35,BD14+BC15-BL14,IF(A15&lt;'Données projet'!$A$88,$BA$205^A15,IF(A15='Données projet'!$A$88,'Données projet'!$B$88,BD14+BC15-BL14)))</f>
        <v>20.2</v>
      </c>
      <c r="BE15" s="14">
        <f>BD15*VLOOKUP('Données projet'!$B$11,Paramètres!$A$1:$I$89,3,0)*VLOOKUP('Données projet'!$B$11,Paramètres!$A$1:$I$89,5,0)</f>
        <v>13.23504</v>
      </c>
      <c r="BF15" s="14">
        <f t="shared" si="37"/>
        <v>4.5155276195383474</v>
      </c>
      <c r="BG15" s="22">
        <f t="shared" si="7"/>
        <v>30.915571937362625</v>
      </c>
      <c r="BH15" s="62">
        <f t="shared" si="8"/>
        <v>324.24890527069596</v>
      </c>
      <c r="BI15" s="62">
        <f ca="1">AVERAGE(OFFSET($BH$3,0,0,'Données projet'!$E$11+1,1))-AVERAGE(OFFSET($H$3,0,0,'Données projet'!$E$11+1,1))</f>
        <v>154.44480170404967</v>
      </c>
      <c r="BJ15" s="62">
        <f t="shared" si="38"/>
        <v>186.45728006007272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5.6</v>
      </c>
      <c r="BY15" s="13">
        <f>IF('Données projet'!$A$114&gt;35,BY14+BX15-CG14,IF(A15&lt;'Données projet'!$A$114,$BV$205^A15,IF(A15='Données projet'!$A$114,'Données projet'!$B$114,BY14+BX15-CG14)))</f>
        <v>20.2</v>
      </c>
      <c r="BZ15" s="14">
        <f>BY15*VLOOKUP('Données projet'!$B$12,Paramètres!$A$1:$I$89,3,0)*VLOOKUP('Données projet'!$B$12,Paramètres!$A$1:$I$89,5,0)</f>
        <v>13.23504</v>
      </c>
      <c r="CA15" s="14">
        <f t="shared" si="39"/>
        <v>4.5155276195383474</v>
      </c>
      <c r="CB15" s="22">
        <f t="shared" si="10"/>
        <v>30.915571937362625</v>
      </c>
      <c r="CC15" s="62">
        <f t="shared" si="11"/>
        <v>324.24890527069596</v>
      </c>
      <c r="CD15" s="62">
        <f ca="1">AVERAGE(OFFSET($CC$3,0,0,'Données projet'!$E$12+1,1))-AVERAGE(OFFSET($H$3,0,0,'Données projet'!$E$12+1,1))</f>
        <v>154.44480170404967</v>
      </c>
      <c r="CE15" s="62">
        <f t="shared" si="40"/>
        <v>186.45728006007272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9">
        <f t="shared" si="1"/>
        <v>310.23072070337594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3.92</v>
      </c>
      <c r="N16" s="14">
        <f>IF('Données projet'!$A$36&gt;35,N15+M16-V15,IF(A16&lt;'Données projet'!$A$36,$K$205^A16,IF(A16='Données projet'!$A$36,'Données projet'!$B$36,N15+M16-V15)))</f>
        <v>10.850195398565635</v>
      </c>
      <c r="O16" s="14">
        <f>N16*VLOOKUP('Données projet'!$B$9,Paramètres!$A$1:$I$89,3,0)*VLOOKUP('Données projet'!$B$9,Paramètres!$A$1:$I$89,5,0)</f>
        <v>6.2063117679795434</v>
      </c>
      <c r="P16" s="14">
        <f t="shared" si="33"/>
        <v>2.3125962834734182</v>
      </c>
      <c r="Q16" s="22">
        <f t="shared" si="2"/>
        <v>14.837098189613906</v>
      </c>
      <c r="R16" s="62">
        <f t="shared" si="0"/>
        <v>308.17043152294724</v>
      </c>
      <c r="S16" s="62">
        <f ca="1">AVERAGE(OFFSET($R$3,0,0,'Données projet'!$E$9+1,1))-AVERAGE(OFFSET($H$3,0,0,'Données projet'!$E$9+1,1))</f>
        <v>178.42783874015521</v>
      </c>
      <c r="T16" s="62">
        <f t="shared" si="34"/>
        <v>140.03904900962556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4.3703703703703702</v>
      </c>
      <c r="AI16" s="14">
        <f>IF('Données projet'!$A$62&gt;35,AI15+AH16-AQ15,IF(A16&lt;'Données projet'!$A$62,$AF$205^A16,IF(A16='Données projet'!$A$62,'Données projet'!$B$62,AI15+AH16-AQ15)))</f>
        <v>9.944267959210924</v>
      </c>
      <c r="AJ16" s="14">
        <f>AI16*VLOOKUP('Données projet'!$B$10,Paramètres!$A$1:$I$89,3,0)*VLOOKUP('Données projet'!$B$10,Paramètres!$A$1:$I$89,5,0)</f>
        <v>5.9466722396081328</v>
      </c>
      <c r="AK16" s="14">
        <f t="shared" si="35"/>
        <v>2.2268992721234029</v>
      </c>
      <c r="AL16" s="22">
        <f t="shared" si="4"/>
        <v>14.235637049599092</v>
      </c>
      <c r="AM16" s="62">
        <f t="shared" si="5"/>
        <v>307.56897038293243</v>
      </c>
      <c r="AN16" s="62">
        <f ca="1">AVERAGE(OFFSET($AM$3,0,0,'Données projet'!$E$10+1,1))-AVERAGE(OFFSET($H$3,0,0,'Données projet'!$E$10+1,1))</f>
        <v>216.16876563248064</v>
      </c>
      <c r="AO16" s="62">
        <f t="shared" si="36"/>
        <v>137.55906339137317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5.6</v>
      </c>
      <c r="BD16" s="13">
        <f>IF('Données projet'!$A$88&gt;35,BD15+BC16-BL15,IF(A16&lt;'Données projet'!$A$88,$BA$205^A16,IF(A16='Données projet'!$A$88,'Données projet'!$B$88,BD15+BC16-BL15)))</f>
        <v>25.799999999999997</v>
      </c>
      <c r="BE16" s="14">
        <f>BD16*VLOOKUP('Données projet'!$B$11,Paramètres!$A$1:$I$89,3,0)*VLOOKUP('Données projet'!$B$11,Paramètres!$A$1:$I$89,5,0)</f>
        <v>16.904159999999997</v>
      </c>
      <c r="BF16" s="14">
        <f t="shared" si="37"/>
        <v>5.6054076921798863</v>
      </c>
      <c r="BG16" s="22">
        <f t="shared" si="7"/>
        <v>39.204163730546632</v>
      </c>
      <c r="BH16" s="62">
        <f t="shared" si="8"/>
        <v>332.53749706387993</v>
      </c>
      <c r="BI16" s="62">
        <f ca="1">AVERAGE(OFFSET($BH$3,0,0,'Données projet'!$E$11+1,1))-AVERAGE(OFFSET($H$3,0,0,'Données projet'!$E$11+1,1))</f>
        <v>154.44480170404967</v>
      </c>
      <c r="BJ16" s="62">
        <f t="shared" si="38"/>
        <v>186.45728006007272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5.6</v>
      </c>
      <c r="BY16" s="13">
        <f>IF('Données projet'!$A$114&gt;35,BY15+BX16-CG15,IF(A16&lt;'Données projet'!$A$114,$BV$205^A16,IF(A16='Données projet'!$A$114,'Données projet'!$B$114,BY15+BX16-CG15)))</f>
        <v>25.799999999999997</v>
      </c>
      <c r="BZ16" s="14">
        <f>BY16*VLOOKUP('Données projet'!$B$12,Paramètres!$A$1:$I$89,3,0)*VLOOKUP('Données projet'!$B$12,Paramètres!$A$1:$I$89,5,0)</f>
        <v>16.904159999999997</v>
      </c>
      <c r="CA16" s="14">
        <f t="shared" si="39"/>
        <v>5.6054076921798863</v>
      </c>
      <c r="CB16" s="22">
        <f t="shared" si="10"/>
        <v>39.204163730546632</v>
      </c>
      <c r="CC16" s="62">
        <f t="shared" si="11"/>
        <v>332.53749706387993</v>
      </c>
      <c r="CD16" s="62">
        <f ca="1">AVERAGE(OFFSET($CC$3,0,0,'Données projet'!$E$12+1,1))-AVERAGE(OFFSET($H$3,0,0,'Données projet'!$E$12+1,1))</f>
        <v>154.44480170404967</v>
      </c>
      <c r="CE16" s="62">
        <f t="shared" si="40"/>
        <v>186.45728006007272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9">
        <f t="shared" si="1"/>
        <v>311.4885716930055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3.92</v>
      </c>
      <c r="N17" s="14">
        <f>IF('Données projet'!$A$36&gt;35,N16+M17-V16,IF(A17&lt;'Données projet'!$A$36,$K$205^A17,IF(A17='Données projet'!$A$36,'Données projet'!$B$36,N16+M17-V16)))</f>
        <v>13.0342666802624</v>
      </c>
      <c r="O17" s="14">
        <f>N17*VLOOKUP('Données projet'!$B$9,Paramètres!$A$1:$I$89,3,0)*VLOOKUP('Données projet'!$B$9,Paramètres!$A$1:$I$89,5,0)</f>
        <v>7.4556005411100932</v>
      </c>
      <c r="P17" s="14">
        <f t="shared" si="33"/>
        <v>2.7194289575789719</v>
      </c>
      <c r="Q17" s="22">
        <f t="shared" si="2"/>
        <v>17.721509710216786</v>
      </c>
      <c r="R17" s="62">
        <f t="shared" si="0"/>
        <v>311.05484304355008</v>
      </c>
      <c r="S17" s="62">
        <f ca="1">AVERAGE(OFFSET($R$3,0,0,'Données projet'!$E$9+1,1))-AVERAGE(OFFSET($H$3,0,0,'Données projet'!$E$9+1,1))</f>
        <v>178.42783874015521</v>
      </c>
      <c r="T17" s="62">
        <f t="shared" si="34"/>
        <v>140.03904900962556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4.3703703703703702</v>
      </c>
      <c r="AI17" s="14">
        <f>IF('Données projet'!$A$62&gt;35,AI16+AH17-AQ16,IF(A17&lt;'Données projet'!$A$62,$AF$205^A17,IF(A17='Données projet'!$A$62,'Données projet'!$B$62,AI16+AH17-AQ16)))</f>
        <v>11.866132377366407</v>
      </c>
      <c r="AJ17" s="14">
        <f>AI17*VLOOKUP('Données projet'!$B$10,Paramètres!$A$1:$I$89,3,0)*VLOOKUP('Données projet'!$B$10,Paramètres!$A$1:$I$89,5,0)</f>
        <v>7.0959471616651122</v>
      </c>
      <c r="AK17" s="14">
        <f t="shared" si="35"/>
        <v>2.6031837849951125</v>
      </c>
      <c r="AL17" s="22">
        <f t="shared" si="4"/>
        <v>16.892653065433223</v>
      </c>
      <c r="AM17" s="62">
        <f t="shared" si="5"/>
        <v>310.22598639876651</v>
      </c>
      <c r="AN17" s="62">
        <f ca="1">AVERAGE(OFFSET($AM$3,0,0,'Données projet'!$E$10+1,1))-AVERAGE(OFFSET($H$3,0,0,'Données projet'!$E$10+1,1))</f>
        <v>216.16876563248064</v>
      </c>
      <c r="AO17" s="62">
        <f t="shared" si="36"/>
        <v>137.55906339137317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5.6</v>
      </c>
      <c r="BD17" s="13">
        <f>IF('Données projet'!$A$88&gt;35,BD16+BC17-BL16,IF(A17&lt;'Données projet'!$A$88,$BA$205^A17,IF(A17='Données projet'!$A$88,'Données projet'!$B$88,BD16+BC17-BL16)))</f>
        <v>31.4</v>
      </c>
      <c r="BE17" s="14">
        <f>BD17*VLOOKUP('Données projet'!$B$11,Paramètres!$A$1:$I$89,3,0)*VLOOKUP('Données projet'!$B$11,Paramètres!$A$1:$I$89,5,0)</f>
        <v>20.57328</v>
      </c>
      <c r="BF17" s="14">
        <f t="shared" si="37"/>
        <v>6.6678691706770401</v>
      </c>
      <c r="BG17" s="22">
        <f t="shared" si="7"/>
        <v>47.445001472262504</v>
      </c>
      <c r="BH17" s="62">
        <f t="shared" si="8"/>
        <v>340.77833480559582</v>
      </c>
      <c r="BI17" s="62">
        <f ca="1">AVERAGE(OFFSET($BH$3,0,0,'Données projet'!$E$11+1,1))-AVERAGE(OFFSET($H$3,0,0,'Données projet'!$E$11+1,1))</f>
        <v>154.44480170404967</v>
      </c>
      <c r="BJ17" s="62">
        <f t="shared" si="38"/>
        <v>186.45728006007272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5.6</v>
      </c>
      <c r="BY17" s="13">
        <f>IF('Données projet'!$A$114&gt;35,BY16+BX17-CG16,IF(A17&lt;'Données projet'!$A$114,$BV$205^A17,IF(A17='Données projet'!$A$114,'Données projet'!$B$114,BY16+BX17-CG16)))</f>
        <v>31.4</v>
      </c>
      <c r="BZ17" s="14">
        <f>BY17*VLOOKUP('Données projet'!$B$12,Paramètres!$A$1:$I$89,3,0)*VLOOKUP('Données projet'!$B$12,Paramètres!$A$1:$I$89,5,0)</f>
        <v>20.57328</v>
      </c>
      <c r="CA17" s="14">
        <f t="shared" si="39"/>
        <v>6.6678691706770401</v>
      </c>
      <c r="CB17" s="22">
        <f t="shared" si="10"/>
        <v>47.445001472262504</v>
      </c>
      <c r="CC17" s="62">
        <f t="shared" si="11"/>
        <v>340.77833480559582</v>
      </c>
      <c r="CD17" s="62">
        <f ca="1">AVERAGE(OFFSET($CC$3,0,0,'Données projet'!$E$12+1,1))-AVERAGE(OFFSET($H$3,0,0,'Données projet'!$E$12+1,1))</f>
        <v>154.44480170404967</v>
      </c>
      <c r="CE17" s="62">
        <f t="shared" si="40"/>
        <v>186.45728006007272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9">
        <f t="shared" si="1"/>
        <v>312.74387931648818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3.92</v>
      </c>
      <c r="N18" s="14">
        <f>IF('Données projet'!$A$36&gt;35,N17+M18-V17,IF(A18&lt;'Données projet'!$A$36,$K$205^A18,IF(A18='Données projet'!$A$36,'Données projet'!$B$36,N17+M18-V17)))</f>
        <v>15.657976806082024</v>
      </c>
      <c r="O18" s="14">
        <f>N18*VLOOKUP('Données projet'!$B$9,Paramètres!$A$1:$I$89,3,0)*VLOOKUP('Données projet'!$B$9,Paramètres!$A$1:$I$89,5,0)</f>
        <v>8.9563627330789188</v>
      </c>
      <c r="P18" s="14">
        <f t="shared" si="33"/>
        <v>3.1978317651759127</v>
      </c>
      <c r="Q18" s="22">
        <f t="shared" si="2"/>
        <v>21.168555417793829</v>
      </c>
      <c r="R18" s="62">
        <f t="shared" si="0"/>
        <v>314.50188875112713</v>
      </c>
      <c r="S18" s="62">
        <f ca="1">AVERAGE(OFFSET($R$3,0,0,'Données projet'!$E$9+1,1))-AVERAGE(OFFSET($H$3,0,0,'Données projet'!$E$9+1,1))</f>
        <v>178.42783874015521</v>
      </c>
      <c r="T18" s="62">
        <f t="shared" si="34"/>
        <v>140.03904900962556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4.3703703703703702</v>
      </c>
      <c r="AI18" s="14">
        <f>IF('Données projet'!$A$62&gt;35,AI17+AH18-AQ17,IF(A18&lt;'Données projet'!$A$62,$AF$205^A18,IF(A18='Données projet'!$A$62,'Données projet'!$B$62,AI17+AH18-AQ17)))</f>
        <v>14.159423114374338</v>
      </c>
      <c r="AJ18" s="14">
        <f>AI18*VLOOKUP('Données projet'!$B$10,Paramètres!$A$1:$I$89,3,0)*VLOOKUP('Données projet'!$B$10,Paramètres!$A$1:$I$89,5,0)</f>
        <v>8.4673350223958543</v>
      </c>
      <c r="AK18" s="14">
        <f t="shared" si="35"/>
        <v>3.0430499948027987</v>
      </c>
      <c r="AL18" s="22">
        <f t="shared" si="4"/>
        <v>20.047253904954317</v>
      </c>
      <c r="AM18" s="62">
        <f t="shared" si="5"/>
        <v>313.3805872382876</v>
      </c>
      <c r="AN18" s="62">
        <f ca="1">AVERAGE(OFFSET($AM$3,0,0,'Données projet'!$E$10+1,1))-AVERAGE(OFFSET($H$3,0,0,'Données projet'!$E$10+1,1))</f>
        <v>216.16876563248064</v>
      </c>
      <c r="AO18" s="62">
        <f t="shared" si="36"/>
        <v>137.55906339137317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</v>
      </c>
      <c r="BB18" s="13">
        <f>VLOOKUP(A18,'Données projet'!$A$87:$I$107,9,0)</f>
        <v>5.6</v>
      </c>
      <c r="BC18" s="13">
        <f t="array" ref="BC18">INDEX(BB:BB,MIN(IF(ISNUMBER(BB18:BB214),ROW(BB18:BB214),"")))</f>
        <v>5.6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24.2424</v>
      </c>
      <c r="BF18" s="14">
        <f t="shared" si="37"/>
        <v>7.7083792976822032</v>
      </c>
      <c r="BG18" s="22">
        <f t="shared" si="7"/>
        <v>55.647607276796499</v>
      </c>
      <c r="BH18" s="62">
        <f t="shared" si="8"/>
        <v>348.98094061012984</v>
      </c>
      <c r="BI18" s="62">
        <f ca="1">AVERAGE(OFFSET($BH$3,0,0,'Données projet'!$E$11+1,1))-AVERAGE(OFFSET($H$3,0,0,'Données projet'!$E$11+1,1))</f>
        <v>154.44480170404967</v>
      </c>
      <c r="BJ18" s="62">
        <f t="shared" si="38"/>
        <v>186.45728006007272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</v>
      </c>
      <c r="BW18" s="13">
        <f>VLOOKUP(A18,'Données projet'!$A$113:$I$133,9,0)</f>
        <v>5.6</v>
      </c>
      <c r="BX18" s="13">
        <f t="array" ref="BX18">INDEX(BW:BW,MIN(IF(ISNUMBER(BW18:BW214),ROW(BW18:BW214),"")))</f>
        <v>5.6</v>
      </c>
      <c r="BY18" s="13">
        <f>IF('Données projet'!$A$114&gt;35,BY17+BX18-CG17,IF(A18&lt;'Données projet'!$A$114,$BV$205^A18,IF(A18='Données projet'!$A$114,'Données projet'!$B$114,BY17+BX18-CG17)))</f>
        <v>37</v>
      </c>
      <c r="BZ18" s="14">
        <f>BY18*VLOOKUP('Données projet'!$B$12,Paramètres!$A$1:$I$89,3,0)*VLOOKUP('Données projet'!$B$12,Paramètres!$A$1:$I$89,5,0)</f>
        <v>24.2424</v>
      </c>
      <c r="CA18" s="14">
        <f t="shared" si="39"/>
        <v>7.7083792976822032</v>
      </c>
      <c r="CB18" s="22">
        <f t="shared" si="10"/>
        <v>55.647607276796499</v>
      </c>
      <c r="CC18" s="62">
        <f t="shared" si="11"/>
        <v>348.98094061012984</v>
      </c>
      <c r="CD18" s="62">
        <f ca="1">AVERAGE(OFFSET($CC$3,0,0,'Données projet'!$E$12+1,1))-AVERAGE(OFFSET($H$3,0,0,'Données projet'!$E$12+1,1))</f>
        <v>154.44480170404967</v>
      </c>
      <c r="CE18" s="62">
        <f t="shared" si="40"/>
        <v>186.45728006007272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9">
        <f t="shared" si="1"/>
        <v>313.99683242457326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3.92</v>
      </c>
      <c r="N19" s="14">
        <f>IF('Données projet'!$A$36&gt;35,N18+M19-V18,IF(A19&lt;'Données projet'!$A$36,$K$205^A19,IF(A19='Données projet'!$A$36,'Données projet'!$B$36,N18+M19-V18)))</f>
        <v>18.809822115352553</v>
      </c>
      <c r="O19" s="14">
        <f>N19*VLOOKUP('Données projet'!$B$9,Paramètres!$A$1:$I$89,3,0)*VLOOKUP('Données projet'!$B$9,Paramètres!$A$1:$I$89,5,0)</f>
        <v>10.759218249981661</v>
      </c>
      <c r="P19" s="14">
        <f t="shared" si="33"/>
        <v>3.7603953469231675</v>
      </c>
      <c r="Q19" s="22">
        <f t="shared" si="2"/>
        <v>25.288327014609248</v>
      </c>
      <c r="R19" s="62">
        <f t="shared" si="0"/>
        <v>318.62166034794257</v>
      </c>
      <c r="S19" s="62">
        <f ca="1">AVERAGE(OFFSET($R$3,0,0,'Données projet'!$E$9+1,1))-AVERAGE(OFFSET($H$3,0,0,'Données projet'!$E$9+1,1))</f>
        <v>178.42783874015521</v>
      </c>
      <c r="T19" s="62">
        <f t="shared" si="34"/>
        <v>140.03904900962556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4.3703703703703702</v>
      </c>
      <c r="AI19" s="14">
        <f>IF('Données projet'!$A$62&gt;35,AI18+AH19-AQ18,IF(A19&lt;'Données projet'!$A$62,$AF$205^A19,IF(A19='Données projet'!$A$62,'Données projet'!$B$62,AI18+AH19-AQ18)))</f>
        <v>16.895923335078734</v>
      </c>
      <c r="AJ19" s="14">
        <f>AI19*VLOOKUP('Données projet'!$B$10,Paramètres!$A$1:$I$89,3,0)*VLOOKUP('Données projet'!$B$10,Paramètres!$A$1:$I$89,5,0)</f>
        <v>10.103762154377083</v>
      </c>
      <c r="AK19" s="14">
        <f t="shared" si="35"/>
        <v>3.5572414534253478</v>
      </c>
      <c r="AL19" s="22">
        <f t="shared" si="4"/>
        <v>23.79291461692257</v>
      </c>
      <c r="AM19" s="62">
        <f t="shared" si="5"/>
        <v>317.1262479502559</v>
      </c>
      <c r="AN19" s="62">
        <f ca="1">AVERAGE(OFFSET($AM$3,0,0,'Données projet'!$E$10+1,1))-AVERAGE(OFFSET($H$3,0,0,'Données projet'!$E$10+1,1))</f>
        <v>216.16876563248064</v>
      </c>
      <c r="AO19" s="62">
        <f t="shared" si="36"/>
        <v>137.55906339137317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10.199999999999999</v>
      </c>
      <c r="BD19" s="13">
        <f>IF('Données projet'!$A$88&gt;35,BD18+BC19-BL18,IF(A19&lt;'Données projet'!$A$88,$BA$205^A19,IF(A19='Données projet'!$A$88,'Données projet'!$B$88,BD18+BC19-BL18)))</f>
        <v>47.2</v>
      </c>
      <c r="BE19" s="14">
        <f>BD19*VLOOKUP('Données projet'!$B$11,Paramètres!$A$1:$I$89,3,0)*VLOOKUP('Données projet'!$B$11,Paramètres!$A$1:$I$89,5,0)</f>
        <v>30.925440000000002</v>
      </c>
      <c r="BF19" s="14">
        <f t="shared" si="37"/>
        <v>9.5586196975402125</v>
      </c>
      <c r="BG19" s="22">
        <f t="shared" si="7"/>
        <v>70.509737306549212</v>
      </c>
      <c r="BH19" s="62">
        <f t="shared" si="8"/>
        <v>363.84307063988251</v>
      </c>
      <c r="BI19" s="62">
        <f ca="1">AVERAGE(OFFSET($BH$3,0,0,'Données projet'!$E$11+1,1))-AVERAGE(OFFSET($H$3,0,0,'Données projet'!$E$11+1,1))</f>
        <v>154.44480170404967</v>
      </c>
      <c r="BJ19" s="62">
        <f t="shared" si="38"/>
        <v>186.45728006007272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10.199999999999999</v>
      </c>
      <c r="BY19" s="13">
        <f>IF('Données projet'!$A$114&gt;35,BY18+BX19-CG18,IF(A19&lt;'Données projet'!$A$114,$BV$205^A19,IF(A19='Données projet'!$A$114,'Données projet'!$B$114,BY18+BX19-CG18)))</f>
        <v>47.2</v>
      </c>
      <c r="BZ19" s="14">
        <f>BY19*VLOOKUP('Données projet'!$B$12,Paramètres!$A$1:$I$89,3,0)*VLOOKUP('Données projet'!$B$12,Paramètres!$A$1:$I$89,5,0)</f>
        <v>30.925440000000002</v>
      </c>
      <c r="CA19" s="14">
        <f t="shared" si="39"/>
        <v>9.5586196975402125</v>
      </c>
      <c r="CB19" s="22">
        <f t="shared" si="10"/>
        <v>70.509737306549212</v>
      </c>
      <c r="CC19" s="62">
        <f t="shared" si="11"/>
        <v>363.84307063988251</v>
      </c>
      <c r="CD19" s="62">
        <f ca="1">AVERAGE(OFFSET($CC$3,0,0,'Données projet'!$E$12+1,1))-AVERAGE(OFFSET($H$3,0,0,'Données projet'!$E$12+1,1))</f>
        <v>154.44480170404967</v>
      </c>
      <c r="CE19" s="62">
        <f t="shared" si="40"/>
        <v>186.45728006007272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9">
        <f t="shared" si="1"/>
        <v>315.24759492743152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3.92</v>
      </c>
      <c r="N20" s="14">
        <f>IF('Données projet'!$A$36&gt;35,N19+M20-V19,IF(A20&lt;'Données projet'!$A$36,$K$205^A20,IF(A20='Données projet'!$A$36,'Données projet'!$B$36,N19+M20-V19)))</f>
        <v>22.596112664681932</v>
      </c>
      <c r="O20" s="14">
        <f>N20*VLOOKUP('Données projet'!$B$9,Paramètres!$A$1:$I$89,3,0)*VLOOKUP('Données projet'!$B$9,Paramètres!$A$1:$I$89,5,0)</f>
        <v>12.924976444198066</v>
      </c>
      <c r="P20" s="14">
        <f t="shared" si="33"/>
        <v>4.4219252929909976</v>
      </c>
      <c r="Q20" s="22">
        <f t="shared" si="2"/>
        <v>30.212520525604287</v>
      </c>
      <c r="R20" s="62">
        <f t="shared" si="0"/>
        <v>323.54585385893762</v>
      </c>
      <c r="S20" s="62">
        <f ca="1">AVERAGE(OFFSET($R$3,0,0,'Données projet'!$E$9+1,1))-AVERAGE(OFFSET($H$3,0,0,'Données projet'!$E$9+1,1))</f>
        <v>178.42783874015521</v>
      </c>
      <c r="T20" s="62">
        <f t="shared" si="34"/>
        <v>140.03904900962556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4.3703703703703702</v>
      </c>
      <c r="AI20" s="14">
        <f>IF('Données projet'!$A$62&gt;35,AI19+AH20-AQ19,IF(A20&lt;'Données projet'!$A$62,$AF$205^A20,IF(A20='Données projet'!$A$62,'Données projet'!$B$62,AI19+AH20-AQ19)))</f>
        <v>20.161289272799031</v>
      </c>
      <c r="AJ20" s="14">
        <f>AI20*VLOOKUP('Données projet'!$B$10,Paramètres!$A$1:$I$89,3,0)*VLOOKUP('Données projet'!$B$10,Paramètres!$A$1:$I$89,5,0)</f>
        <v>12.056450985133822</v>
      </c>
      <c r="AK20" s="14">
        <f t="shared" si="35"/>
        <v>4.1583170764789594</v>
      </c>
      <c r="AL20" s="22">
        <f t="shared" si="4"/>
        <v>28.240721040642256</v>
      </c>
      <c r="AM20" s="62">
        <f t="shared" si="5"/>
        <v>321.57405437397557</v>
      </c>
      <c r="AN20" s="62">
        <f ca="1">AVERAGE(OFFSET($AM$3,0,0,'Données projet'!$E$10+1,1))-AVERAGE(OFFSET($H$3,0,0,'Données projet'!$E$10+1,1))</f>
        <v>216.16876563248064</v>
      </c>
      <c r="AO20" s="62">
        <f t="shared" si="36"/>
        <v>137.55906339137317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10.199999999999999</v>
      </c>
      <c r="BD20" s="13">
        <f>IF('Données projet'!$A$88&gt;35,BD19+BC20-BL19,IF(A20&lt;'Données projet'!$A$88,$BA$205^A20,IF(A20='Données projet'!$A$88,'Données projet'!$B$88,BD19+BC20-BL19)))</f>
        <v>57.400000000000006</v>
      </c>
      <c r="BE20" s="14">
        <f>BD20*VLOOKUP('Données projet'!$B$11,Paramètres!$A$1:$I$89,3,0)*VLOOKUP('Données projet'!$B$11,Paramètres!$A$1:$I$89,5,0)</f>
        <v>37.60848</v>
      </c>
      <c r="BF20" s="14">
        <f t="shared" si="37"/>
        <v>11.362517918194323</v>
      </c>
      <c r="BG20" s="22">
        <f t="shared" si="7"/>
        <v>85.29115470752177</v>
      </c>
      <c r="BH20" s="62">
        <f t="shared" si="8"/>
        <v>378.62448804085511</v>
      </c>
      <c r="BI20" s="62">
        <f ca="1">AVERAGE(OFFSET($BH$3,0,0,'Données projet'!$E$11+1,1))-AVERAGE(OFFSET($H$3,0,0,'Données projet'!$E$11+1,1))</f>
        <v>154.44480170404967</v>
      </c>
      <c r="BJ20" s="62">
        <f t="shared" si="38"/>
        <v>186.45728006007272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10.199999999999999</v>
      </c>
      <c r="BY20" s="13">
        <f>IF('Données projet'!$A$114&gt;35,BY19+BX20-CG19,IF(A20&lt;'Données projet'!$A$114,$BV$205^A20,IF(A20='Données projet'!$A$114,'Données projet'!$B$114,BY19+BX20-CG19)))</f>
        <v>57.400000000000006</v>
      </c>
      <c r="BZ20" s="14">
        <f>BY20*VLOOKUP('Données projet'!$B$12,Paramètres!$A$1:$I$89,3,0)*VLOOKUP('Données projet'!$B$12,Paramètres!$A$1:$I$89,5,0)</f>
        <v>37.60848</v>
      </c>
      <c r="CA20" s="14">
        <f t="shared" si="39"/>
        <v>11.362517918194323</v>
      </c>
      <c r="CB20" s="22">
        <f t="shared" si="10"/>
        <v>85.29115470752177</v>
      </c>
      <c r="CC20" s="62">
        <f t="shared" si="11"/>
        <v>378.62448804085511</v>
      </c>
      <c r="CD20" s="62">
        <f ca="1">AVERAGE(OFFSET($CC$3,0,0,'Données projet'!$E$12+1,1))-AVERAGE(OFFSET($H$3,0,0,'Données projet'!$E$12+1,1))</f>
        <v>154.44480170404967</v>
      </c>
      <c r="CE20" s="62">
        <f t="shared" si="40"/>
        <v>186.45728006007272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9">
        <f t="shared" si="1"/>
        <v>316.49631036234257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3.92</v>
      </c>
      <c r="N21" s="14">
        <f>IF('Données projet'!$A$36&gt;35,N20+M21-V20,IF(A21&lt;'Données projet'!$A$36,$K$205^A21,IF(A21='Données projet'!$A$36,'Données projet'!$B$36,N20+M21-V20)))</f>
        <v>27.144558009310522</v>
      </c>
      <c r="O21" s="14">
        <f>N21*VLOOKUP('Données projet'!$B$9,Paramètres!$A$1:$I$89,3,0)*VLOOKUP('Données projet'!$B$9,Paramètres!$A$1:$I$89,5,0)</f>
        <v>15.526687181325618</v>
      </c>
      <c r="P21" s="14">
        <f t="shared" si="33"/>
        <v>5.1998317976838608</v>
      </c>
      <c r="Q21" s="22">
        <f t="shared" si="2"/>
        <v>36.098687221774846</v>
      </c>
      <c r="R21" s="62">
        <f t="shared" si="0"/>
        <v>329.43202055510818</v>
      </c>
      <c r="S21" s="62">
        <f ca="1">AVERAGE(OFFSET($R$3,0,0,'Données projet'!$E$9+1,1))-AVERAGE(OFFSET($H$3,0,0,'Données projet'!$E$9+1,1))</f>
        <v>178.42783874015521</v>
      </c>
      <c r="T21" s="62">
        <f t="shared" si="34"/>
        <v>140.03904900962556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4.3703703703703702</v>
      </c>
      <c r="AI21" s="14">
        <f>IF('Données projet'!$A$62&gt;35,AI20+AH21-AQ20,IF(A21&lt;'Données projet'!$A$62,$AF$205^A21,IF(A21='Données projet'!$A$62,'Données projet'!$B$62,AI20+AH21-AQ20)))</f>
        <v>24.057731387639919</v>
      </c>
      <c r="AJ21" s="14">
        <f>AI21*VLOOKUP('Données projet'!$B$10,Paramètres!$A$1:$I$89,3,0)*VLOOKUP('Données projet'!$B$10,Paramètres!$A$1:$I$89,5,0)</f>
        <v>14.386523369808673</v>
      </c>
      <c r="AK21" s="14">
        <f t="shared" si="35"/>
        <v>4.8609578896833261</v>
      </c>
      <c r="AL21" s="22">
        <f t="shared" si="4"/>
        <v>33.522696526948565</v>
      </c>
      <c r="AM21" s="62">
        <f t="shared" si="5"/>
        <v>326.85602986028186</v>
      </c>
      <c r="AN21" s="62">
        <f ca="1">AVERAGE(OFFSET($AM$3,0,0,'Données projet'!$E$10+1,1))-AVERAGE(OFFSET($H$3,0,0,'Données projet'!$E$10+1,1))</f>
        <v>216.16876563248064</v>
      </c>
      <c r="AO21" s="62">
        <f t="shared" si="36"/>
        <v>137.55906339137317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10.199999999999999</v>
      </c>
      <c r="BD21" s="13">
        <f>IF('Données projet'!$A$88&gt;35,BD20+BC21-BL20,IF(A21&lt;'Données projet'!$A$88,$BA$205^A21,IF(A21='Données projet'!$A$88,'Données projet'!$B$88,BD20+BC21-BL20)))</f>
        <v>67.600000000000009</v>
      </c>
      <c r="BE21" s="14">
        <f>BD21*VLOOKUP('Données projet'!$B$11,Paramètres!$A$1:$I$89,3,0)*VLOOKUP('Données projet'!$B$11,Paramètres!$A$1:$I$89,5,0)</f>
        <v>44.291520000000006</v>
      </c>
      <c r="BF21" s="14">
        <f t="shared" si="37"/>
        <v>13.129280699875432</v>
      </c>
      <c r="BG21" s="22">
        <f t="shared" si="7"/>
        <v>100.00789455228305</v>
      </c>
      <c r="BH21" s="62">
        <f t="shared" si="8"/>
        <v>393.34122788561638</v>
      </c>
      <c r="BI21" s="62">
        <f ca="1">AVERAGE(OFFSET($BH$3,0,0,'Données projet'!$E$11+1,1))-AVERAGE(OFFSET($H$3,0,0,'Données projet'!$E$11+1,1))</f>
        <v>154.44480170404967</v>
      </c>
      <c r="BJ21" s="62">
        <f t="shared" si="38"/>
        <v>186.45728006007272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10.199999999999999</v>
      </c>
      <c r="BY21" s="13">
        <f>IF('Données projet'!$A$114&gt;35,BY20+BX21-CG20,IF(A21&lt;'Données projet'!$A$114,$BV$205^A21,IF(A21='Données projet'!$A$114,'Données projet'!$B$114,BY20+BX21-CG20)))</f>
        <v>67.600000000000009</v>
      </c>
      <c r="BZ21" s="14">
        <f>BY21*VLOOKUP('Données projet'!$B$12,Paramètres!$A$1:$I$89,3,0)*VLOOKUP('Données projet'!$B$12,Paramètres!$A$1:$I$89,5,0)</f>
        <v>44.291520000000006</v>
      </c>
      <c r="CA21" s="14">
        <f t="shared" si="39"/>
        <v>13.129280699875432</v>
      </c>
      <c r="CB21" s="22">
        <f t="shared" si="10"/>
        <v>100.00789455228305</v>
      </c>
      <c r="CC21" s="62">
        <f t="shared" si="11"/>
        <v>393.34122788561638</v>
      </c>
      <c r="CD21" s="62">
        <f ca="1">AVERAGE(OFFSET($CC$3,0,0,'Données projet'!$E$12+1,1))-AVERAGE(OFFSET($H$3,0,0,'Données projet'!$E$12+1,1))</f>
        <v>154.44480170404967</v>
      </c>
      <c r="CE21" s="62">
        <f t="shared" si="40"/>
        <v>186.45728006007272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9">
        <f t="shared" si="1"/>
        <v>317.74310541723986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3.92</v>
      </c>
      <c r="N22" s="14">
        <f>IF('Données projet'!$A$36&gt;35,N21+M22-V21,IF(A22&lt;'Données projet'!$A$36,$K$205^A22,IF(A22='Données projet'!$A$36,'Données projet'!$B$36,N21+M22-V21)))</f>
        <v>32.608574778107553</v>
      </c>
      <c r="O22" s="14">
        <f>N22*VLOOKUP('Données projet'!$B$9,Paramètres!$A$1:$I$89,3,0)*VLOOKUP('Données projet'!$B$9,Paramètres!$A$1:$I$89,5,0)</f>
        <v>18.652104773077522</v>
      </c>
      <c r="P22" s="14">
        <f t="shared" si="33"/>
        <v>6.1145878622285492</v>
      </c>
      <c r="Q22" s="22">
        <f t="shared" si="2"/>
        <v>43.135323006491404</v>
      </c>
      <c r="R22" s="62">
        <f t="shared" si="0"/>
        <v>336.46865633982475</v>
      </c>
      <c r="S22" s="62">
        <f ca="1">AVERAGE(OFFSET($R$3,0,0,'Données projet'!$E$9+1,1))-AVERAGE(OFFSET($H$3,0,0,'Données projet'!$E$9+1,1))</f>
        <v>178.42783874015521</v>
      </c>
      <c r="T22" s="62">
        <f t="shared" si="34"/>
        <v>140.03904900962556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4.3703703703703702</v>
      </c>
      <c r="AI22" s="14">
        <f>IF('Données projet'!$A$62&gt;35,AI21+AH22-AQ21,IF(A22&lt;'Données projet'!$A$62,$AF$205^A22,IF(A22='Données projet'!$A$62,'Données projet'!$B$62,AI21+AH22-AQ21)))</f>
        <v>28.707213694944539</v>
      </c>
      <c r="AJ22" s="14">
        <f>AI22*VLOOKUP('Données projet'!$B$10,Paramètres!$A$1:$I$89,3,0)*VLOOKUP('Données projet'!$B$10,Paramètres!$A$1:$I$89,5,0)</f>
        <v>17.166913789576835</v>
      </c>
      <c r="AK22" s="14">
        <f t="shared" si="35"/>
        <v>5.6823256068972627</v>
      </c>
      <c r="AL22" s="22">
        <f t="shared" si="4"/>
        <v>39.79575861552572</v>
      </c>
      <c r="AM22" s="62">
        <f t="shared" si="5"/>
        <v>333.12909194885901</v>
      </c>
      <c r="AN22" s="62">
        <f ca="1">AVERAGE(OFFSET($AM$3,0,0,'Données projet'!$E$10+1,1))-AVERAGE(OFFSET($H$3,0,0,'Données projet'!$E$10+1,1))</f>
        <v>216.16876563248064</v>
      </c>
      <c r="AO22" s="62">
        <f t="shared" si="36"/>
        <v>137.55906339137317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10.199999999999999</v>
      </c>
      <c r="BD22" s="13">
        <f>IF('Données projet'!$A$88&gt;35,BD21+BC22-BL21,IF(A22&lt;'Données projet'!$A$88,$BA$205^A22,IF(A22='Données projet'!$A$88,'Données projet'!$B$88,BD21+BC22-BL21)))</f>
        <v>77.800000000000011</v>
      </c>
      <c r="BE22" s="14">
        <f>BD22*VLOOKUP('Données projet'!$B$11,Paramètres!$A$1:$I$89,3,0)*VLOOKUP('Données projet'!$B$11,Paramètres!$A$1:$I$89,5,0)</f>
        <v>50.974560000000004</v>
      </c>
      <c r="BF22" s="14">
        <f t="shared" si="37"/>
        <v>14.865160575379223</v>
      </c>
      <c r="BG22" s="22">
        <f t="shared" si="7"/>
        <v>114.67084666878549</v>
      </c>
      <c r="BH22" s="62">
        <f t="shared" si="8"/>
        <v>408.0041800021188</v>
      </c>
      <c r="BI22" s="62">
        <f ca="1">AVERAGE(OFFSET($BH$3,0,0,'Données projet'!$E$11+1,1))-AVERAGE(OFFSET($H$3,0,0,'Données projet'!$E$11+1,1))</f>
        <v>154.44480170404967</v>
      </c>
      <c r="BJ22" s="62">
        <f t="shared" si="38"/>
        <v>186.45728006007272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10.199999999999999</v>
      </c>
      <c r="BY22" s="13">
        <f>IF('Données projet'!$A$114&gt;35,BY21+BX22-CG21,IF(A22&lt;'Données projet'!$A$114,$BV$205^A22,IF(A22='Données projet'!$A$114,'Données projet'!$B$114,BY21+BX22-CG21)))</f>
        <v>77.800000000000011</v>
      </c>
      <c r="BZ22" s="14">
        <f>BY22*VLOOKUP('Données projet'!$B$12,Paramètres!$A$1:$I$89,3,0)*VLOOKUP('Données projet'!$B$12,Paramètres!$A$1:$I$89,5,0)</f>
        <v>50.974560000000004</v>
      </c>
      <c r="CA22" s="14">
        <f t="shared" si="39"/>
        <v>14.865160575379223</v>
      </c>
      <c r="CB22" s="22">
        <f t="shared" si="10"/>
        <v>114.67084666878549</v>
      </c>
      <c r="CC22" s="62">
        <f t="shared" si="11"/>
        <v>408.0041800021188</v>
      </c>
      <c r="CD22" s="62">
        <f ca="1">AVERAGE(OFFSET($CC$3,0,0,'Données projet'!$E$12+1,1))-AVERAGE(OFFSET($H$3,0,0,'Données projet'!$E$12+1,1))</f>
        <v>154.44480170404967</v>
      </c>
      <c r="CE22" s="62">
        <f t="shared" si="40"/>
        <v>186.45728006007272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9">
        <f t="shared" si="1"/>
        <v>318.98809269129538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3.92</v>
      </c>
      <c r="N23" s="14">
        <f>IF('Données projet'!$A$36&gt;35,N22+M23-V22,IF(A23&lt;'Données projet'!$A$36,$K$205^A23,IF(A23='Données projet'!$A$36,'Données projet'!$B$36,N22+M23-V22)))</f>
        <v>39.172461334412446</v>
      </c>
      <c r="O23" s="14">
        <f>N23*VLOOKUP('Données projet'!$B$9,Paramètres!$A$1:$I$89,3,0)*VLOOKUP('Données projet'!$B$9,Paramètres!$A$1:$I$89,5,0)</f>
        <v>22.40664788328392</v>
      </c>
      <c r="P23" s="14">
        <f t="shared" si="33"/>
        <v>7.1902681047426107</v>
      </c>
      <c r="Q23" s="22">
        <f t="shared" si="2"/>
        <v>51.547962012479537</v>
      </c>
      <c r="R23" s="62">
        <f t="shared" si="0"/>
        <v>344.88129534581287</v>
      </c>
      <c r="S23" s="62">
        <f ca="1">AVERAGE(OFFSET($R$3,0,0,'Données projet'!$E$9+1,1))-AVERAGE(OFFSET($H$3,0,0,'Données projet'!$E$9+1,1))</f>
        <v>178.42783874015521</v>
      </c>
      <c r="T23" s="62">
        <f t="shared" si="34"/>
        <v>140.03904900962556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4.3703703703703702</v>
      </c>
      <c r="AI23" s="14">
        <f>IF('Données projet'!$A$62&gt;35,AI22+AH23-AQ22,IF(A23&lt;'Données projet'!$A$62,$AF$205^A23,IF(A23='Données projet'!$A$62,'Données projet'!$B$62,AI22+AH23-AQ22)))</f>
        <v>34.255271407286948</v>
      </c>
      <c r="AJ23" s="14">
        <f>AI23*VLOOKUP('Données projet'!$B$10,Paramètres!$A$1:$I$89,3,0)*VLOOKUP('Données projet'!$B$10,Paramètres!$A$1:$I$89,5,0)</f>
        <v>20.484652301557595</v>
      </c>
      <c r="AK23" s="14">
        <f t="shared" si="35"/>
        <v>6.6424817979453561</v>
      </c>
      <c r="AL23" s="22">
        <f t="shared" si="4"/>
        <v>47.246425223300974</v>
      </c>
      <c r="AM23" s="62">
        <f t="shared" si="5"/>
        <v>340.57975855663426</v>
      </c>
      <c r="AN23" s="62">
        <f ca="1">AVERAGE(OFFSET($AM$3,0,0,'Données projet'!$E$10+1,1))-AVERAGE(OFFSET($H$3,0,0,'Données projet'!$E$10+1,1))</f>
        <v>216.16876563248064</v>
      </c>
      <c r="AO23" s="62">
        <f t="shared" si="36"/>
        <v>137.55906339137317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88</v>
      </c>
      <c r="BB23" s="13">
        <f>VLOOKUP(A23,'Données projet'!$A$87:$I$107,9,0)</f>
        <v>10.199999999999999</v>
      </c>
      <c r="BC23" s="13">
        <f t="array" ref="BC23">INDEX(BB:BB,MIN(IF(ISNUMBER(BB23:BB219),ROW(BB23:BB219),"")))</f>
        <v>10.199999999999999</v>
      </c>
      <c r="BD23" s="13">
        <f>IF('Données projet'!$A$88&gt;35,BD22+BC23-BL22,IF(A23&lt;'Données projet'!$A$88,$BA$205^A23,IF(A23='Données projet'!$A$88,'Données projet'!$B$88,BD22+BC23-BL22)))</f>
        <v>88.000000000000014</v>
      </c>
      <c r="BE23" s="14">
        <f>BD23*VLOOKUP('Données projet'!$B$11,Paramètres!$A$1:$I$89,3,0)*VLOOKUP('Données projet'!$B$11,Paramètres!$A$1:$I$89,5,0)</f>
        <v>57.657600000000016</v>
      </c>
      <c r="BF23" s="14">
        <f t="shared" si="37"/>
        <v>16.574671209026025</v>
      </c>
      <c r="BG23" s="22">
        <f t="shared" si="7"/>
        <v>129.28787235572034</v>
      </c>
      <c r="BH23" s="62">
        <f t="shared" si="8"/>
        <v>422.62120568905368</v>
      </c>
      <c r="BI23" s="62">
        <f ca="1">AVERAGE(OFFSET($BH$3,0,0,'Données projet'!$E$11+1,1))-AVERAGE(OFFSET($H$3,0,0,'Données projet'!$E$11+1,1))</f>
        <v>154.44480170404967</v>
      </c>
      <c r="BJ23" s="62">
        <f t="shared" si="38"/>
        <v>186.45728006007272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13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88</v>
      </c>
      <c r="BW23" s="13">
        <f>VLOOKUP(A23,'Données projet'!$A$113:$I$133,9,0)</f>
        <v>10.199999999999999</v>
      </c>
      <c r="BX23" s="13">
        <f t="array" ref="BX23">INDEX(BW:BW,MIN(IF(ISNUMBER(BW23:BW219),ROW(BW23:BW219),"")))</f>
        <v>10.199999999999999</v>
      </c>
      <c r="BY23" s="13">
        <f>IF('Données projet'!$A$114&gt;35,BY22+BX23-CG22,IF(A23&lt;'Données projet'!$A$114,$BV$205^A23,IF(A23='Données projet'!$A$114,'Données projet'!$B$114,BY22+BX23-CG22)))</f>
        <v>88.000000000000014</v>
      </c>
      <c r="BZ23" s="14">
        <f>BY23*VLOOKUP('Données projet'!$B$12,Paramètres!$A$1:$I$89,3,0)*VLOOKUP('Données projet'!$B$12,Paramètres!$A$1:$I$89,5,0)</f>
        <v>57.657600000000016</v>
      </c>
      <c r="CA23" s="14">
        <f t="shared" si="39"/>
        <v>16.574671209026025</v>
      </c>
      <c r="CB23" s="22">
        <f t="shared" si="10"/>
        <v>129.28787235572034</v>
      </c>
      <c r="CC23" s="62">
        <f t="shared" si="11"/>
        <v>422.62120568905368</v>
      </c>
      <c r="CD23" s="62">
        <f ca="1">AVERAGE(OFFSET($CC$3,0,0,'Données projet'!$E$12+1,1))-AVERAGE(OFFSET($H$3,0,0,'Données projet'!$E$12+1,1))</f>
        <v>154.44480170404967</v>
      </c>
      <c r="CE23" s="62">
        <f t="shared" si="40"/>
        <v>186.45728006007272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9">
        <f t="shared" si="1"/>
        <v>320.23137288769698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3.92</v>
      </c>
      <c r="N24" s="14">
        <f>IF('Données projet'!$A$36&gt;35,N23+M24-V23,IF(A24&lt;'Données projet'!$A$36,$K$205^A24,IF(A24='Données projet'!$A$36,'Données projet'!$B$36,N23+M24-V23)))</f>
        <v>47.05761406126355</v>
      </c>
      <c r="O24" s="14">
        <f>N24*VLOOKUP('Données projet'!$B$9,Paramètres!$A$1:$I$89,3,0)*VLOOKUP('Données projet'!$B$9,Paramètres!$A$1:$I$89,5,0)</f>
        <v>26.91695524304275</v>
      </c>
      <c r="P24" s="14">
        <f t="shared" si="33"/>
        <v>8.4551823578238796</v>
      </c>
      <c r="Q24" s="22">
        <f t="shared" si="2"/>
        <v>61.606472988176044</v>
      </c>
      <c r="R24" s="62">
        <f t="shared" si="0"/>
        <v>354.93980632150937</v>
      </c>
      <c r="S24" s="62">
        <f ca="1">AVERAGE(OFFSET($R$3,0,0,'Données projet'!$E$9+1,1))-AVERAGE(OFFSET($H$3,0,0,'Données projet'!$E$9+1,1))</f>
        <v>178.42783874015521</v>
      </c>
      <c r="T24" s="62">
        <f t="shared" si="34"/>
        <v>140.03904900962556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4.3703703703703702</v>
      </c>
      <c r="AI24" s="14">
        <f>IF('Données projet'!$A$62&gt;35,AI23+AH24-AQ23,IF(A24&lt;'Données projet'!$A$62,$AF$205^A24,IF(A24='Données projet'!$A$62,'Données projet'!$B$62,AI23+AH24-AQ23)))</f>
        <v>40.875566387466414</v>
      </c>
      <c r="AJ24" s="14">
        <f>AI24*VLOOKUP('Données projet'!$B$10,Paramètres!$A$1:$I$89,3,0)*VLOOKUP('Données projet'!$B$10,Paramètres!$A$1:$I$89,5,0)</f>
        <v>24.443588699704918</v>
      </c>
      <c r="AK24" s="14">
        <f t="shared" si="35"/>
        <v>7.7648778842379169</v>
      </c>
      <c r="AL24" s="22">
        <f t="shared" si="4"/>
        <v>56.096412633700432</v>
      </c>
      <c r="AM24" s="62">
        <f t="shared" si="5"/>
        <v>349.42974596703374</v>
      </c>
      <c r="AN24" s="62">
        <f ca="1">AVERAGE(OFFSET($AM$3,0,0,'Données projet'!$E$10+1,1))-AVERAGE(OFFSET($H$3,0,0,'Données projet'!$E$10+1,1))</f>
        <v>216.16876563248064</v>
      </c>
      <c r="AO24" s="62">
        <f t="shared" si="36"/>
        <v>137.55906339137317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8.1999999999999993</v>
      </c>
      <c r="BD24" s="13">
        <f>IF('Données projet'!$A$88&gt;35,BD23+BC24-BL23,IF(A24&lt;'Données projet'!$A$88,$BA$205^A24,IF(A24='Données projet'!$A$88,'Données projet'!$B$88,BD23+BC24-BL23)))</f>
        <v>83.200000000000017</v>
      </c>
      <c r="BE24" s="14">
        <f>BD24*VLOOKUP('Données projet'!$B$11,Paramètres!$A$1:$I$89,3,0)*VLOOKUP('Données projet'!$B$11,Paramètres!$A$1:$I$89,5,0)</f>
        <v>54.512640000000005</v>
      </c>
      <c r="BF24" s="14">
        <f t="shared" si="37"/>
        <v>15.773243364716285</v>
      </c>
      <c r="BG24" s="22">
        <f t="shared" si="7"/>
        <v>122.41458019354752</v>
      </c>
      <c r="BH24" s="62">
        <f t="shared" si="8"/>
        <v>415.74791352688084</v>
      </c>
      <c r="BI24" s="62">
        <f ca="1">AVERAGE(OFFSET($BH$3,0,0,'Données projet'!$E$11+1,1))-AVERAGE(OFFSET($H$3,0,0,'Données projet'!$E$11+1,1))</f>
        <v>154.44480170404967</v>
      </c>
      <c r="BJ24" s="62">
        <f t="shared" si="38"/>
        <v>186.45728006007272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8.1999999999999993</v>
      </c>
      <c r="BY24" s="13">
        <f>IF('Données projet'!$A$114&gt;35,BY23+BX24-CG23,IF(A24&lt;'Données projet'!$A$114,$BV$205^A24,IF(A24='Données projet'!$A$114,'Données projet'!$B$114,BY23+BX24-CG23)))</f>
        <v>83.200000000000017</v>
      </c>
      <c r="BZ24" s="14">
        <f>BY24*VLOOKUP('Données projet'!$B$12,Paramètres!$A$1:$I$89,3,0)*VLOOKUP('Données projet'!$B$12,Paramètres!$A$1:$I$89,5,0)</f>
        <v>54.512640000000005</v>
      </c>
      <c r="CA24" s="14">
        <f t="shared" si="39"/>
        <v>15.773243364716285</v>
      </c>
      <c r="CB24" s="22">
        <f t="shared" si="10"/>
        <v>122.41458019354752</v>
      </c>
      <c r="CC24" s="62">
        <f t="shared" si="11"/>
        <v>415.74791352688084</v>
      </c>
      <c r="CD24" s="62">
        <f ca="1">AVERAGE(OFFSET($CC$3,0,0,'Données projet'!$E$12+1,1))-AVERAGE(OFFSET($H$3,0,0,'Données projet'!$E$12+1,1))</f>
        <v>154.44480170404967</v>
      </c>
      <c r="CE24" s="62">
        <f t="shared" si="40"/>
        <v>186.45728006007272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9">
        <f t="shared" si="1"/>
        <v>321.47303657691953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3.92</v>
      </c>
      <c r="N25" s="14">
        <f>IF('Données projet'!$A$36&gt;35,N24+M25-V24,IF(A25&lt;'Données projet'!$A$36,$K$205^A25,IF(A25='Données projet'!$A$36,'Données projet'!$B$36,N24+M25-V24)))</f>
        <v>56.529994942990569</v>
      </c>
      <c r="O25" s="14">
        <f>N25*VLOOKUP('Données projet'!$B$9,Paramètres!$A$1:$I$89,3,0)*VLOOKUP('Données projet'!$B$9,Paramètres!$A$1:$I$89,5,0)</f>
        <v>32.335157107390607</v>
      </c>
      <c r="P25" s="14">
        <f t="shared" si="33"/>
        <v>9.942620728829608</v>
      </c>
      <c r="Q25" s="22">
        <f t="shared" si="2"/>
        <v>73.633796398083533</v>
      </c>
      <c r="R25" s="62">
        <f t="shared" si="0"/>
        <v>366.96712973141683</v>
      </c>
      <c r="S25" s="62">
        <f ca="1">AVERAGE(OFFSET($R$3,0,0,'Données projet'!$E$9+1,1))-AVERAGE(OFFSET($H$3,0,0,'Données projet'!$E$9+1,1))</f>
        <v>178.42783874015521</v>
      </c>
      <c r="T25" s="62">
        <f t="shared" si="34"/>
        <v>140.03904900962556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4.3703703703703702</v>
      </c>
      <c r="AI25" s="14">
        <f>IF('Données projet'!$A$62&gt;35,AI24+AH25-AQ24,IF(A25&lt;'Données projet'!$A$62,$AF$205^A25,IF(A25='Données projet'!$A$62,'Données projet'!$B$62,AI24+AH25-AQ24)))</f>
        <v>48.775323004469058</v>
      </c>
      <c r="AJ25" s="14">
        <f>AI25*VLOOKUP('Données projet'!$B$10,Paramètres!$A$1:$I$89,3,0)*VLOOKUP('Données projet'!$B$10,Paramètres!$A$1:$I$89,5,0)</f>
        <v>29.167643156672497</v>
      </c>
      <c r="AK25" s="14">
        <f t="shared" si="35"/>
        <v>9.0769279301265016</v>
      </c>
      <c r="AL25" s="22">
        <f t="shared" si="4"/>
        <v>66.60929464284159</v>
      </c>
      <c r="AM25" s="62">
        <f t="shared" si="5"/>
        <v>359.94262797617489</v>
      </c>
      <c r="AN25" s="62">
        <f ca="1">AVERAGE(OFFSET($AM$3,0,0,'Données projet'!$E$10+1,1))-AVERAGE(OFFSET($H$3,0,0,'Données projet'!$E$10+1,1))</f>
        <v>216.16876563248064</v>
      </c>
      <c r="AO25" s="62">
        <f t="shared" si="36"/>
        <v>137.55906339137317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8.1999999999999993</v>
      </c>
      <c r="BD25" s="13">
        <f>IF('Données projet'!$A$88&gt;35,BD24+BC25-BL24,IF(A25&lt;'Données projet'!$A$88,$BA$205^A25,IF(A25='Données projet'!$A$88,'Données projet'!$B$88,BD24+BC25-BL24)))</f>
        <v>91.40000000000002</v>
      </c>
      <c r="BE25" s="14">
        <f>BD25*VLOOKUP('Données projet'!$B$11,Paramètres!$A$1:$I$89,3,0)*VLOOKUP('Données projet'!$B$11,Paramètres!$A$1:$I$89,5,0)</f>
        <v>59.885280000000009</v>
      </c>
      <c r="BF25" s="14">
        <f t="shared" si="37"/>
        <v>17.139260967250106</v>
      </c>
      <c r="BG25" s="22">
        <f t="shared" si="7"/>
        <v>134.15107551796063</v>
      </c>
      <c r="BH25" s="62">
        <f t="shared" si="8"/>
        <v>427.48440885129395</v>
      </c>
      <c r="BI25" s="62">
        <f ca="1">AVERAGE(OFFSET($BH$3,0,0,'Données projet'!$E$11+1,1))-AVERAGE(OFFSET($H$3,0,0,'Données projet'!$E$11+1,1))</f>
        <v>154.44480170404967</v>
      </c>
      <c r="BJ25" s="62">
        <f t="shared" si="38"/>
        <v>186.45728006007272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8.1999999999999993</v>
      </c>
      <c r="BY25" s="13">
        <f>IF('Données projet'!$A$114&gt;35,BY24+BX25-CG24,IF(A25&lt;'Données projet'!$A$114,$BV$205^A25,IF(A25='Données projet'!$A$114,'Données projet'!$B$114,BY24+BX25-CG24)))</f>
        <v>91.40000000000002</v>
      </c>
      <c r="BZ25" s="14">
        <f>BY25*VLOOKUP('Données projet'!$B$12,Paramètres!$A$1:$I$89,3,0)*VLOOKUP('Données projet'!$B$12,Paramètres!$A$1:$I$89,5,0)</f>
        <v>59.885280000000009</v>
      </c>
      <c r="CA25" s="14">
        <f t="shared" si="39"/>
        <v>17.139260967250106</v>
      </c>
      <c r="CB25" s="22">
        <f t="shared" si="10"/>
        <v>134.15107551796063</v>
      </c>
      <c r="CC25" s="62">
        <f t="shared" si="11"/>
        <v>427.48440885129395</v>
      </c>
      <c r="CD25" s="62">
        <f ca="1">AVERAGE(OFFSET($CC$3,0,0,'Données projet'!$E$12+1,1))-AVERAGE(OFFSET($H$3,0,0,'Données projet'!$E$12+1,1))</f>
        <v>154.44480170404967</v>
      </c>
      <c r="CE25" s="62">
        <f t="shared" si="40"/>
        <v>186.45728006007272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9">
        <f t="shared" si="1"/>
        <v>322.71316563033918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3.92</v>
      </c>
      <c r="N26" s="14">
        <f>IF('Données projet'!$A$36&gt;35,N25+M26-V25,IF(A26&lt;'Données projet'!$A$36,$K$205^A26,IF(A26='Données projet'!$A$36,'Données projet'!$B$36,N25+M26-V25)))</f>
        <v>67.909102320703866</v>
      </c>
      <c r="O26" s="14">
        <f>N26*VLOOKUP('Données projet'!$B$9,Paramètres!$A$1:$I$89,3,0)*VLOOKUP('Données projet'!$B$9,Paramètres!$A$1:$I$89,5,0)</f>
        <v>38.844006527442609</v>
      </c>
      <c r="P26" s="14">
        <f t="shared" si="33"/>
        <v>11.691729731396913</v>
      </c>
      <c r="Q26" s="22">
        <f t="shared" si="2"/>
        <v>88.016407317478823</v>
      </c>
      <c r="R26" s="62">
        <f t="shared" si="0"/>
        <v>381.34974065081212</v>
      </c>
      <c r="S26" s="62">
        <f ca="1">AVERAGE(OFFSET($R$3,0,0,'Données projet'!$E$9+1,1))-AVERAGE(OFFSET($H$3,0,0,'Données projet'!$E$9+1,1))</f>
        <v>178.42783874015521</v>
      </c>
      <c r="T26" s="62">
        <f t="shared" si="34"/>
        <v>140.03904900962556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4.3703703703703702</v>
      </c>
      <c r="AI26" s="14">
        <f>IF('Données projet'!$A$62&gt;35,AI25+AH26-AQ25,IF(A26&lt;'Données projet'!$A$62,$AF$205^A26,IF(A26='Données projet'!$A$62,'Données projet'!$B$62,AI25+AH26-AQ25)))</f>
        <v>58.201814542189823</v>
      </c>
      <c r="AJ26" s="14">
        <f>AI26*VLOOKUP('Données projet'!$B$10,Paramètres!$A$1:$I$89,3,0)*VLOOKUP('Données projet'!$B$10,Paramètres!$A$1:$I$89,5,0)</f>
        <v>34.804685096229512</v>
      </c>
      <c r="AK26" s="14">
        <f t="shared" si="35"/>
        <v>10.610678220189007</v>
      </c>
      <c r="AL26" s="22">
        <f t="shared" si="4"/>
        <v>79.098424442762266</v>
      </c>
      <c r="AM26" s="62">
        <f t="shared" si="5"/>
        <v>372.43175777609559</v>
      </c>
      <c r="AN26" s="62">
        <f ca="1">AVERAGE(OFFSET($AM$3,0,0,'Données projet'!$E$10+1,1))-AVERAGE(OFFSET($H$3,0,0,'Données projet'!$E$10+1,1))</f>
        <v>216.16876563248064</v>
      </c>
      <c r="AO26" s="62">
        <f t="shared" si="36"/>
        <v>137.55906339137317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8.1999999999999993</v>
      </c>
      <c r="BD26" s="13">
        <f>IF('Données projet'!$A$88&gt;35,BD25+BC26-BL25,IF(A26&lt;'Données projet'!$A$88,$BA$205^A26,IF(A26='Données projet'!$A$88,'Données projet'!$B$88,BD25+BC26-BL25)))</f>
        <v>99.600000000000023</v>
      </c>
      <c r="BE26" s="14">
        <f>BD26*VLOOKUP('Données projet'!$B$11,Paramètres!$A$1:$I$89,3,0)*VLOOKUP('Données projet'!$B$11,Paramètres!$A$1:$I$89,5,0)</f>
        <v>65.257920000000013</v>
      </c>
      <c r="BF26" s="14">
        <f t="shared" si="37"/>
        <v>18.491067519086762</v>
      </c>
      <c r="BG26" s="22">
        <f t="shared" si="7"/>
        <v>145.8628199290761</v>
      </c>
      <c r="BH26" s="62">
        <f t="shared" si="8"/>
        <v>439.19615326240944</v>
      </c>
      <c r="BI26" s="62">
        <f ca="1">AVERAGE(OFFSET($BH$3,0,0,'Données projet'!$E$11+1,1))-AVERAGE(OFFSET($H$3,0,0,'Données projet'!$E$11+1,1))</f>
        <v>154.44480170404967</v>
      </c>
      <c r="BJ26" s="62">
        <f t="shared" si="38"/>
        <v>186.45728006007272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8.1999999999999993</v>
      </c>
      <c r="BY26" s="13">
        <f>IF('Données projet'!$A$114&gt;35,BY25+BX26-CG25,IF(A26&lt;'Données projet'!$A$114,$BV$205^A26,IF(A26='Données projet'!$A$114,'Données projet'!$B$114,BY25+BX26-CG25)))</f>
        <v>99.600000000000023</v>
      </c>
      <c r="BZ26" s="14">
        <f>BY26*VLOOKUP('Données projet'!$B$12,Paramètres!$A$1:$I$89,3,0)*VLOOKUP('Données projet'!$B$12,Paramètres!$A$1:$I$89,5,0)</f>
        <v>65.257920000000013</v>
      </c>
      <c r="CA26" s="14">
        <f t="shared" si="39"/>
        <v>18.491067519086762</v>
      </c>
      <c r="CB26" s="22">
        <f t="shared" si="10"/>
        <v>145.8628199290761</v>
      </c>
      <c r="CC26" s="62">
        <f t="shared" si="11"/>
        <v>439.19615326240944</v>
      </c>
      <c r="CD26" s="62">
        <f ca="1">AVERAGE(OFFSET($CC$3,0,0,'Données projet'!$E$12+1,1))-AVERAGE(OFFSET($H$3,0,0,'Données projet'!$E$12+1,1))</f>
        <v>154.44480170404967</v>
      </c>
      <c r="CE26" s="62">
        <f t="shared" si="40"/>
        <v>186.45728006007272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9">
        <f t="shared" si="1"/>
        <v>323.95183439748814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3.92</v>
      </c>
      <c r="N27" s="14">
        <f>IF('Données projet'!$A$36&gt;35,N26+M27-V26,IF(A27&lt;'Données projet'!$A$36,$K$205^A27,IF(A27='Données projet'!$A$36,'Données projet'!$B$36,N26+M27-V26)))</f>
        <v>81.57874740046563</v>
      </c>
      <c r="O27" s="14">
        <f>N27*VLOOKUP('Données projet'!$B$9,Paramètres!$A$1:$I$89,3,0)*VLOOKUP('Données projet'!$B$9,Paramètres!$A$1:$I$89,5,0)</f>
        <v>46.663043513066341</v>
      </c>
      <c r="P27" s="14">
        <f t="shared" si="33"/>
        <v>13.748542546299239</v>
      </c>
      <c r="Q27" s="22">
        <f t="shared" si="2"/>
        <v>105.21684572006173</v>
      </c>
      <c r="R27" s="62">
        <f t="shared" si="0"/>
        <v>398.55017905339503</v>
      </c>
      <c r="S27" s="62">
        <f ca="1">AVERAGE(OFFSET($R$3,0,0,'Données projet'!$E$9+1,1))-AVERAGE(OFFSET($H$3,0,0,'Données projet'!$E$9+1,1))</f>
        <v>178.42783874015521</v>
      </c>
      <c r="T27" s="62">
        <f t="shared" si="34"/>
        <v>140.03904900962556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4.3703703703703702</v>
      </c>
      <c r="AI27" s="14">
        <f>IF('Données projet'!$A$62&gt;35,AI26+AH27-AQ26,IF(A27&lt;'Données projet'!$A$62,$AF$205^A27,IF(A27='Données projet'!$A$62,'Données projet'!$B$62,AI26+AH27-AQ26)))</f>
        <v>69.450103194459274</v>
      </c>
      <c r="AJ27" s="14">
        <f>AI27*VLOOKUP('Données projet'!$B$10,Paramètres!$A$1:$I$89,3,0)*VLOOKUP('Données projet'!$B$10,Paramètres!$A$1:$I$89,5,0)</f>
        <v>41.531161710286646</v>
      </c>
      <c r="AK27" s="14">
        <f t="shared" si="35"/>
        <v>12.40358997659513</v>
      </c>
      <c r="AL27" s="22">
        <f t="shared" si="4"/>
        <v>93.936359187985758</v>
      </c>
      <c r="AM27" s="62">
        <f t="shared" si="5"/>
        <v>387.26969252131909</v>
      </c>
      <c r="AN27" s="62">
        <f ca="1">AVERAGE(OFFSET($AM$3,0,0,'Données projet'!$E$10+1,1))-AVERAGE(OFFSET($H$3,0,0,'Données projet'!$E$10+1,1))</f>
        <v>216.16876563248064</v>
      </c>
      <c r="AO27" s="62">
        <f t="shared" si="36"/>
        <v>137.55906339137317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8.1999999999999993</v>
      </c>
      <c r="BD27" s="13">
        <f>IF('Données projet'!$A$88&gt;35,BD26+BC27-BL26,IF(A27&lt;'Données projet'!$A$88,$BA$205^A27,IF(A27='Données projet'!$A$88,'Données projet'!$B$88,BD26+BC27-BL26)))</f>
        <v>107.80000000000003</v>
      </c>
      <c r="BE27" s="14">
        <f>BD27*VLOOKUP('Données projet'!$B$11,Paramètres!$A$1:$I$89,3,0)*VLOOKUP('Données projet'!$B$11,Paramètres!$A$1:$I$89,5,0)</f>
        <v>70.630560000000017</v>
      </c>
      <c r="BF27" s="14">
        <f t="shared" si="37"/>
        <v>19.829966022106095</v>
      </c>
      <c r="BG27" s="22">
        <f t="shared" si="7"/>
        <v>157.5520828218348</v>
      </c>
      <c r="BH27" s="62">
        <f t="shared" si="8"/>
        <v>450.88541615516812</v>
      </c>
      <c r="BI27" s="62">
        <f ca="1">AVERAGE(OFFSET($BH$3,0,0,'Données projet'!$E$11+1,1))-AVERAGE(OFFSET($H$3,0,0,'Données projet'!$E$11+1,1))</f>
        <v>154.44480170404967</v>
      </c>
      <c r="BJ27" s="62">
        <f t="shared" si="38"/>
        <v>186.45728006007272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8.1999999999999993</v>
      </c>
      <c r="BY27" s="13">
        <f>IF('Données projet'!$A$114&gt;35,BY26+BX27-CG26,IF(A27&lt;'Données projet'!$A$114,$BV$205^A27,IF(A27='Données projet'!$A$114,'Données projet'!$B$114,BY26+BX27-CG26)))</f>
        <v>107.80000000000003</v>
      </c>
      <c r="BZ27" s="14">
        <f>BY27*VLOOKUP('Données projet'!$B$12,Paramètres!$A$1:$I$89,3,0)*VLOOKUP('Données projet'!$B$12,Paramètres!$A$1:$I$89,5,0)</f>
        <v>70.630560000000017</v>
      </c>
      <c r="CA27" s="14">
        <f t="shared" si="39"/>
        <v>19.829966022106095</v>
      </c>
      <c r="CB27" s="22">
        <f t="shared" si="10"/>
        <v>157.5520828218348</v>
      </c>
      <c r="CC27" s="62">
        <f t="shared" si="11"/>
        <v>450.88541615516812</v>
      </c>
      <c r="CD27" s="62">
        <f ca="1">AVERAGE(OFFSET($CC$3,0,0,'Données projet'!$E$12+1,1))-AVERAGE(OFFSET($H$3,0,0,'Données projet'!$E$12+1,1))</f>
        <v>154.44480170404967</v>
      </c>
      <c r="CE27" s="62">
        <f t="shared" si="40"/>
        <v>186.45728006007272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9">
        <f t="shared" si="1"/>
        <v>325.18911068157126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98</v>
      </c>
      <c r="L28" s="13">
        <f>VLOOKUP(A28,'Données projet'!$A$35:$I$55,9,0)</f>
        <v>3.92</v>
      </c>
      <c r="M28" s="13">
        <f t="array" ref="M28">INDEX(L:L,MIN(IF(ISNUMBER(L28:L224),ROW(L28:L224),"")))</f>
        <v>3.92</v>
      </c>
      <c r="N28" s="14">
        <f>IF('Données projet'!$A$36&gt;35,N27+M28-V27,IF(A28&lt;'Données projet'!$A$36,$K$205^A28,IF(A28='Données projet'!$A$36,'Données projet'!$B$36,N27+M28-V27)))</f>
        <v>98</v>
      </c>
      <c r="O28" s="14">
        <f>N28*VLOOKUP('Données projet'!$B$9,Paramètres!$A$1:$I$89,3,0)*VLOOKUP('Données projet'!$B$9,Paramètres!$A$1:$I$89,5,0)</f>
        <v>56.055999999999997</v>
      </c>
      <c r="P28" s="14">
        <f t="shared" si="33"/>
        <v>16.167190526120397</v>
      </c>
      <c r="Q28" s="22">
        <f t="shared" si="2"/>
        <v>125.78872349965967</v>
      </c>
      <c r="R28" s="62">
        <f t="shared" si="0"/>
        <v>419.122056832993</v>
      </c>
      <c r="S28" s="62">
        <f ca="1">AVERAGE(OFFSET($R$3,0,0,'Données projet'!$E$9+1,1))-AVERAGE(OFFSET($H$3,0,0,'Données projet'!$E$9+1,1))</f>
        <v>178.42783874015521</v>
      </c>
      <c r="T28" s="62">
        <f t="shared" si="34"/>
        <v>140.03904900962556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0.22500000000000001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2.0406794507745545</v>
      </c>
      <c r="AB28" s="23">
        <f>EXP(-LN(2)/2)*AB27+(1-EXP(-LN(2)/2))/(LN(2)/2)*V28*Y28*VLOOKUP('Données projet'!$B$9,Paramètres!$A$1:$I$89,3,0)*0.475*44/12</f>
        <v>3.8858212451108307</v>
      </c>
      <c r="AC28" s="24">
        <f t="shared" si="3"/>
        <v>5.9265006958853856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4.3703703703703702</v>
      </c>
      <c r="AI28" s="14">
        <f>IF('Données projet'!$A$62&gt;35,AI27+AH28-AQ27,IF(A28&lt;'Données projet'!$A$62,$AF$205^A28,IF(A28='Données projet'!$A$62,'Données projet'!$B$62,AI27+AH28-AQ27)))</f>
        <v>82.872275918900684</v>
      </c>
      <c r="AJ28" s="14">
        <f>AI28*VLOOKUP('Données projet'!$B$10,Paramètres!$A$1:$I$89,3,0)*VLOOKUP('Données projet'!$B$10,Paramètres!$A$1:$I$89,5,0)</f>
        <v>49.557620999502618</v>
      </c>
      <c r="AK28" s="14">
        <f t="shared" si="35"/>
        <v>14.49945433410293</v>
      </c>
      <c r="AL28" s="22">
        <f t="shared" si="4"/>
        <v>111.56607287269634</v>
      </c>
      <c r="AM28" s="62">
        <f t="shared" si="5"/>
        <v>404.89940620602965</v>
      </c>
      <c r="AN28" s="62">
        <f ca="1">AVERAGE(OFFSET($AM$3,0,0,'Données projet'!$E$10+1,1))-AVERAGE(OFFSET($H$3,0,0,'Données projet'!$E$10+1,1))</f>
        <v>216.16876563248064</v>
      </c>
      <c r="AO28" s="62">
        <f t="shared" si="36"/>
        <v>137.55906339137317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116</v>
      </c>
      <c r="BB28" s="13">
        <f>VLOOKUP(A28,'Données projet'!$A$87:$I$107,9,0)</f>
        <v>8.1999999999999993</v>
      </c>
      <c r="BC28" s="13">
        <f t="array" ref="BC28">INDEX(BB:BB,MIN(IF(ISNUMBER(BB28:BB224),ROW(BB28:BB224),"")))</f>
        <v>8.1999999999999993</v>
      </c>
      <c r="BD28" s="13">
        <f>IF('Données projet'!$A$88&gt;35,BD27+BC28-BL27,IF(A28&lt;'Données projet'!$A$88,$BA$205^A28,IF(A28='Données projet'!$A$88,'Données projet'!$B$88,BD27+BC28-BL27)))</f>
        <v>116.00000000000003</v>
      </c>
      <c r="BE28" s="14">
        <f>BD28*VLOOKUP('Données projet'!$B$11,Paramètres!$A$1:$I$89,3,0)*VLOOKUP('Données projet'!$B$11,Paramètres!$A$1:$I$89,5,0)</f>
        <v>76.003200000000021</v>
      </c>
      <c r="BF28" s="14">
        <f t="shared" si="37"/>
        <v>21.157049992000456</v>
      </c>
      <c r="BG28" s="22">
        <f t="shared" si="7"/>
        <v>169.2207687360675</v>
      </c>
      <c r="BH28" s="62">
        <f t="shared" si="8"/>
        <v>462.55410206940081</v>
      </c>
      <c r="BI28" s="62">
        <f ca="1">AVERAGE(OFFSET($BH$3,0,0,'Données projet'!$E$11+1,1))-AVERAGE(OFFSET($H$3,0,0,'Données projet'!$E$11+1,1))</f>
        <v>154.44480170404967</v>
      </c>
      <c r="BJ28" s="62">
        <f t="shared" si="38"/>
        <v>186.45728006007272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116</v>
      </c>
      <c r="BW28" s="13">
        <f>VLOOKUP(A28,'Données projet'!$A$113:$I$133,9,0)</f>
        <v>8.1999999999999993</v>
      </c>
      <c r="BX28" s="13">
        <f t="array" ref="BX28">INDEX(BW:BW,MIN(IF(ISNUMBER(BW28:BW224),ROW(BW28:BW224),"")))</f>
        <v>8.1999999999999993</v>
      </c>
      <c r="BY28" s="13">
        <f>IF('Données projet'!$A$114&gt;35,BY27+BX28-CG27,IF(A28&lt;'Données projet'!$A$114,$BV$205^A28,IF(A28='Données projet'!$A$114,'Données projet'!$B$114,BY27+BX28-CG27)))</f>
        <v>116.00000000000003</v>
      </c>
      <c r="BZ28" s="14">
        <f>BY28*VLOOKUP('Données projet'!$B$12,Paramètres!$A$1:$I$89,3,0)*VLOOKUP('Données projet'!$B$12,Paramètres!$A$1:$I$89,5,0)</f>
        <v>76.003200000000021</v>
      </c>
      <c r="CA28" s="14">
        <f t="shared" si="39"/>
        <v>21.157049992000456</v>
      </c>
      <c r="CB28" s="22">
        <f t="shared" si="10"/>
        <v>169.2207687360675</v>
      </c>
      <c r="CC28" s="62">
        <f t="shared" si="11"/>
        <v>462.55410206940081</v>
      </c>
      <c r="CD28" s="62">
        <f ca="1">AVERAGE(OFFSET($CC$3,0,0,'Données projet'!$E$12+1,1))-AVERAGE(OFFSET($H$3,0,0,'Données projet'!$E$12+1,1))</f>
        <v>154.44480170404967</v>
      </c>
      <c r="CE28" s="62">
        <f t="shared" si="40"/>
        <v>186.45728006007272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9">
        <f t="shared" si="1"/>
        <v>326.42505655450702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10.8</v>
      </c>
      <c r="N29" s="14">
        <f>IF('Données projet'!$A$36&gt;35,N28+M29-V28,IF(A29&lt;'Données projet'!$A$36,$K$205^A29,IF(A29='Données projet'!$A$36,'Données projet'!$B$36,N28+M29-V28)))</f>
        <v>96.8</v>
      </c>
      <c r="O29" s="14">
        <f>N29*VLOOKUP('Données projet'!$B$9,Paramètres!$A$1:$I$89,3,0)*VLOOKUP('Données projet'!$B$9,Paramètres!$A$1:$I$89,5,0)</f>
        <v>55.369599999999998</v>
      </c>
      <c r="P29" s="14">
        <f t="shared" si="33"/>
        <v>15.992142892748898</v>
      </c>
      <c r="Q29" s="22">
        <f t="shared" si="2"/>
        <v>124.28836887153766</v>
      </c>
      <c r="R29" s="62">
        <f t="shared" si="0"/>
        <v>417.62170220487099</v>
      </c>
      <c r="S29" s="62">
        <f ca="1">AVERAGE(OFFSET($R$3,0,0,'Données projet'!$E$9+1,1))-AVERAGE(OFFSET($H$3,0,0,'Données projet'!$E$9+1,1))</f>
        <v>178.42783874015521</v>
      </c>
      <c r="T29" s="62">
        <f t="shared" si="34"/>
        <v>140.03904900962556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1.984876963878456</v>
      </c>
      <c r="AB29" s="23">
        <f>EXP(-LN(2)/2)*AB28+(1-EXP(-LN(2)/2))/(LN(2)/2)*V29*Y29*VLOOKUP('Données projet'!$B$9,Paramètres!$A$1:$I$89,3,0)*0.475*44/12</f>
        <v>2.7476905528966222</v>
      </c>
      <c r="AC29" s="24">
        <f t="shared" si="3"/>
        <v>4.7325675167750783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4.3703703703703702</v>
      </c>
      <c r="AI29" s="14">
        <f>IF('Données projet'!$A$62&gt;35,AI28+AH29-AQ28,IF(A29&lt;'Données projet'!$A$62,$AF$205^A29,IF(A29='Données projet'!$A$62,'Données projet'!$B$62,AI28+AH29-AQ28)))</f>
        <v>98.888465244589028</v>
      </c>
      <c r="AJ29" s="14">
        <f>AI29*VLOOKUP('Données projet'!$B$10,Paramètres!$A$1:$I$89,3,0)*VLOOKUP('Données projet'!$B$10,Paramètres!$A$1:$I$89,5,0)</f>
        <v>59.135302216264243</v>
      </c>
      <c r="AK29" s="14">
        <f t="shared" si="35"/>
        <v>16.949461920575921</v>
      </c>
      <c r="AL29" s="22">
        <f t="shared" si="4"/>
        <v>132.51429753832994</v>
      </c>
      <c r="AM29" s="62">
        <f t="shared" si="5"/>
        <v>425.84763087166323</v>
      </c>
      <c r="AN29" s="62">
        <f ca="1">AVERAGE(OFFSET($AM$3,0,0,'Données projet'!$E$10+1,1))-AVERAGE(OFFSET($H$3,0,0,'Données projet'!$E$10+1,1))</f>
        <v>216.16876563248064</v>
      </c>
      <c r="AO29" s="62">
        <f t="shared" si="36"/>
        <v>137.55906339137317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7.8</v>
      </c>
      <c r="BD29" s="13">
        <f>IF('Données projet'!$A$88&gt;35,BD28+BC29-BL28,IF(A29&lt;'Données projet'!$A$88,$BA$205^A29,IF(A29='Données projet'!$A$88,'Données projet'!$B$88,BD28+BC29-BL28)))</f>
        <v>123.80000000000003</v>
      </c>
      <c r="BE29" s="14">
        <f>BD29*VLOOKUP('Données projet'!$B$11,Paramètres!$A$1:$I$89,3,0)*VLOOKUP('Données projet'!$B$11,Paramètres!$A$1:$I$89,5,0)</f>
        <v>81.113760000000013</v>
      </c>
      <c r="BF29" s="14">
        <f t="shared" si="37"/>
        <v>22.409284723370522</v>
      </c>
      <c r="BG29" s="22">
        <f t="shared" si="7"/>
        <v>180.30263622653698</v>
      </c>
      <c r="BH29" s="62">
        <f t="shared" si="8"/>
        <v>473.63596955987032</v>
      </c>
      <c r="BI29" s="62">
        <f ca="1">AVERAGE(OFFSET($BH$3,0,0,'Données projet'!$E$11+1,1))-AVERAGE(OFFSET($H$3,0,0,'Données projet'!$E$11+1,1))</f>
        <v>154.44480170404967</v>
      </c>
      <c r="BJ29" s="62">
        <f t="shared" si="38"/>
        <v>186.45728006007272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7.8</v>
      </c>
      <c r="BY29" s="13">
        <f>IF('Données projet'!$A$114&gt;35,BY28+BX29-CG28,IF(A29&lt;'Données projet'!$A$114,$BV$205^A29,IF(A29='Données projet'!$A$114,'Données projet'!$B$114,BY28+BX29-CG28)))</f>
        <v>123.80000000000003</v>
      </c>
      <c r="BZ29" s="14">
        <f>BY29*VLOOKUP('Données projet'!$B$12,Paramètres!$A$1:$I$89,3,0)*VLOOKUP('Données projet'!$B$12,Paramètres!$A$1:$I$89,5,0)</f>
        <v>81.113760000000013</v>
      </c>
      <c r="CA29" s="14">
        <f t="shared" si="39"/>
        <v>22.409284723370522</v>
      </c>
      <c r="CB29" s="22">
        <f t="shared" si="10"/>
        <v>180.30263622653698</v>
      </c>
      <c r="CC29" s="62">
        <f t="shared" si="11"/>
        <v>473.63596955987032</v>
      </c>
      <c r="CD29" s="62">
        <f ca="1">AVERAGE(OFFSET($CC$3,0,0,'Données projet'!$E$12+1,1))-AVERAGE(OFFSET($H$3,0,0,'Données projet'!$E$12+1,1))</f>
        <v>154.44480170404967</v>
      </c>
      <c r="CE29" s="62">
        <f t="shared" si="40"/>
        <v>186.45728006007272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9">
        <f t="shared" si="1"/>
        <v>327.65972904304982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10.8</v>
      </c>
      <c r="N30" s="14">
        <f>IF('Données projet'!$A$36&gt;35,N29+M30-V29,IF(A30&lt;'Données projet'!$A$36,$K$205^A30,IF(A30='Données projet'!$A$36,'Données projet'!$B$36,N29+M30-V29)))</f>
        <v>107.6</v>
      </c>
      <c r="O30" s="14">
        <f>N30*VLOOKUP('Données projet'!$B$9,Paramètres!$A$1:$I$89,3,0)*VLOOKUP('Données projet'!$B$9,Paramètres!$A$1:$I$89,5,0)</f>
        <v>61.547200000000004</v>
      </c>
      <c r="P30" s="14">
        <f t="shared" si="33"/>
        <v>17.558868196136149</v>
      </c>
      <c r="Q30" s="22">
        <f t="shared" si="2"/>
        <v>137.77640210827045</v>
      </c>
      <c r="R30" s="62">
        <f t="shared" si="0"/>
        <v>431.10973544160379</v>
      </c>
      <c r="S30" s="62">
        <f ca="1">AVERAGE(OFFSET($R$3,0,0,'Données projet'!$E$9+1,1))-AVERAGE(OFFSET($H$3,0,0,'Données projet'!$E$9+1,1))</f>
        <v>178.42783874015521</v>
      </c>
      <c r="T30" s="62">
        <f t="shared" si="34"/>
        <v>140.03904900962556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1.9306003989210565</v>
      </c>
      <c r="AB30" s="23">
        <f>EXP(-LN(2)/2)*AB29+(1-EXP(-LN(2)/2))/(LN(2)/2)*V30*Y30*VLOOKUP('Données projet'!$B$9,Paramètres!$A$1:$I$89,3,0)*0.475*44/12</f>
        <v>1.9429106225554158</v>
      </c>
      <c r="AC30" s="24">
        <f t="shared" si="3"/>
        <v>3.8735110214764723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>
        <f>VLOOKUP(A30,'Données projet'!$A$61:$I$81,2,0)</f>
        <v>118</v>
      </c>
      <c r="AG30" s="13">
        <f>VLOOKUP(A30,'Données projet'!$A$61:$I$81,9,0)</f>
        <v>4.3703703703703702</v>
      </c>
      <c r="AH30" s="13">
        <f t="array" ref="AH30">INDEX(AG:AG,MIN(IF(ISNUMBER(AG30:AG226),ROW(AG30:AG226),"")))</f>
        <v>4.3703703703703702</v>
      </c>
      <c r="AI30" s="14">
        <f>IF('Données projet'!$A$62&gt;35,AI29+AH30-AQ29,IF(A30&lt;'Données projet'!$A$62,$AF$205^A30,IF(A30='Données projet'!$A$62,'Données projet'!$B$62,AI29+AH30-AQ29)))</f>
        <v>118</v>
      </c>
      <c r="AJ30" s="14">
        <f>AI30*VLOOKUP('Données projet'!$B$10,Paramètres!$A$1:$I$89,3,0)*VLOOKUP('Données projet'!$B$10,Paramètres!$A$1:$I$89,5,0)</f>
        <v>70.564000000000007</v>
      </c>
      <c r="AK30" s="14">
        <f t="shared" si="35"/>
        <v>19.813453167086163</v>
      </c>
      <c r="AL30" s="22">
        <f t="shared" si="4"/>
        <v>157.40739759934175</v>
      </c>
      <c r="AM30" s="62">
        <f t="shared" si="5"/>
        <v>450.74073093267509</v>
      </c>
      <c r="AN30" s="62">
        <f ca="1">AVERAGE(OFFSET($AM$3,0,0,'Données projet'!$E$10+1,1))-AVERAGE(OFFSET($H$3,0,0,'Données projet'!$E$10+1,1))</f>
        <v>216.16876563248064</v>
      </c>
      <c r="AO30" s="62">
        <f t="shared" si="36"/>
        <v>137.55906339137317</v>
      </c>
      <c r="AP30" s="16">
        <f>IF(ISNA(VLOOKUP(A30,'Données projet'!$A$61:$I$81,3,0)),0,VLOOKUP(A30,'Données projet'!$A$61:$I$81,3,0))</f>
        <v>1</v>
      </c>
      <c r="AQ30" s="16">
        <f>IF(ISNA(VLOOKUP(A30,'Données projet'!$A$61:$I$81,4,0)),0,VLOOKUP(A30,'Données projet'!$A$61:$I$81,4,0))</f>
        <v>15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7.8</v>
      </c>
      <c r="BD30" s="13">
        <f>IF('Données projet'!$A$88&gt;35,BD29+BC30-BL29,IF(A30&lt;'Données projet'!$A$88,$BA$205^A30,IF(A30='Données projet'!$A$88,'Données projet'!$B$88,BD29+BC30-BL29)))</f>
        <v>131.60000000000002</v>
      </c>
      <c r="BE30" s="14">
        <f>BD30*VLOOKUP('Données projet'!$B$11,Paramètres!$A$1:$I$89,3,0)*VLOOKUP('Données projet'!$B$11,Paramètres!$A$1:$I$89,5,0)</f>
        <v>86.224320000000006</v>
      </c>
      <c r="BF30" s="14">
        <f t="shared" si="37"/>
        <v>23.652363060428655</v>
      </c>
      <c r="BG30" s="22">
        <f t="shared" si="7"/>
        <v>191.36855633024655</v>
      </c>
      <c r="BH30" s="62">
        <f t="shared" si="8"/>
        <v>484.70188966357989</v>
      </c>
      <c r="BI30" s="62">
        <f ca="1">AVERAGE(OFFSET($BH$3,0,0,'Données projet'!$E$11+1,1))-AVERAGE(OFFSET($H$3,0,0,'Données projet'!$E$11+1,1))</f>
        <v>154.44480170404967</v>
      </c>
      <c r="BJ30" s="62">
        <f t="shared" si="38"/>
        <v>186.45728006007272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7.8</v>
      </c>
      <c r="BY30" s="13">
        <f>IF('Données projet'!$A$114&gt;35,BY29+BX30-CG29,IF(A30&lt;'Données projet'!$A$114,$BV$205^A30,IF(A30='Données projet'!$A$114,'Données projet'!$B$114,BY29+BX30-CG29)))</f>
        <v>131.60000000000002</v>
      </c>
      <c r="BZ30" s="14">
        <f>BY30*VLOOKUP('Données projet'!$B$12,Paramètres!$A$1:$I$89,3,0)*VLOOKUP('Données projet'!$B$12,Paramètres!$A$1:$I$89,5,0)</f>
        <v>86.224320000000006</v>
      </c>
      <c r="CA30" s="14">
        <f t="shared" si="39"/>
        <v>23.652363060428655</v>
      </c>
      <c r="CB30" s="22">
        <f t="shared" si="10"/>
        <v>191.36855633024655</v>
      </c>
      <c r="CC30" s="62">
        <f t="shared" si="11"/>
        <v>484.70188966357989</v>
      </c>
      <c r="CD30" s="62">
        <f ca="1">AVERAGE(OFFSET($CC$3,0,0,'Données projet'!$E$12+1,1))-AVERAGE(OFFSET($H$3,0,0,'Données projet'!$E$12+1,1))</f>
        <v>154.44480170404967</v>
      </c>
      <c r="CE30" s="62">
        <f t="shared" si="40"/>
        <v>186.45728006007272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9">
        <f t="shared" si="1"/>
        <v>328.89318071040799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10.8</v>
      </c>
      <c r="N31" s="14">
        <f>IF('Données projet'!$A$36&gt;35,N30+M31-V30,IF(A31&lt;'Données projet'!$A$36,$K$205^A31,IF(A31='Données projet'!$A$36,'Données projet'!$B$36,N30+M31-V30)))</f>
        <v>118.39999999999999</v>
      </c>
      <c r="O31" s="14">
        <f>N31*VLOOKUP('Données projet'!$B$9,Paramètres!$A$1:$I$89,3,0)*VLOOKUP('Données projet'!$B$9,Paramètres!$A$1:$I$89,5,0)</f>
        <v>67.724800000000002</v>
      </c>
      <c r="P31" s="14">
        <f t="shared" si="33"/>
        <v>19.107363253775425</v>
      </c>
      <c r="Q31" s="22">
        <f t="shared" si="2"/>
        <v>151.23268433365888</v>
      </c>
      <c r="R31" s="62">
        <f t="shared" si="0"/>
        <v>444.5660176669922</v>
      </c>
      <c r="S31" s="62">
        <f ca="1">AVERAGE(OFFSET($R$3,0,0,'Données projet'!$E$9+1,1))-AVERAGE(OFFSET($H$3,0,0,'Données projet'!$E$9+1,1))</f>
        <v>178.42783874015521</v>
      </c>
      <c r="T31" s="62">
        <f t="shared" si="34"/>
        <v>140.03904900962556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1.8778080294866977</v>
      </c>
      <c r="AB31" s="23">
        <f>EXP(-LN(2)/2)*AB30+(1-EXP(-LN(2)/2))/(LN(2)/2)*V31*Y31*VLOOKUP('Données projet'!$B$9,Paramètres!$A$1:$I$89,3,0)*0.475*44/12</f>
        <v>1.3738452764483113</v>
      </c>
      <c r="AC31" s="24">
        <f t="shared" si="3"/>
        <v>3.251653305935009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9.6666666666666661</v>
      </c>
      <c r="AI31" s="14">
        <f>IF('Données projet'!$A$62&gt;35,AI30+AH31-AQ30,IF(A31&lt;'Données projet'!$A$62,$AF$205^A31,IF(A31='Données projet'!$A$62,'Données projet'!$B$62,AI30+AH31-AQ30)))</f>
        <v>112.66666666666667</v>
      </c>
      <c r="AJ31" s="14">
        <f>AI31*VLOOKUP('Données projet'!$B$10,Paramètres!$A$1:$I$89,3,0)*VLOOKUP('Données projet'!$B$10,Paramètres!$A$1:$I$89,5,0)</f>
        <v>67.37466666666667</v>
      </c>
      <c r="AK31" s="14">
        <f t="shared" si="35"/>
        <v>19.020051421525295</v>
      </c>
      <c r="AL31" s="22">
        <f t="shared" si="4"/>
        <v>150.47080067026766</v>
      </c>
      <c r="AM31" s="62">
        <f t="shared" si="5"/>
        <v>443.80413400360101</v>
      </c>
      <c r="AN31" s="62">
        <f ca="1">AVERAGE(OFFSET($AM$3,0,0,'Données projet'!$E$10+1,1))-AVERAGE(OFFSET($H$3,0,0,'Données projet'!$E$10+1,1))</f>
        <v>216.16876563248064</v>
      </c>
      <c r="AO31" s="62">
        <f t="shared" si="36"/>
        <v>137.55906339137317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7.8</v>
      </c>
      <c r="BD31" s="13">
        <f>IF('Données projet'!$A$88&gt;35,BD30+BC31-BL30,IF(A31&lt;'Données projet'!$A$88,$BA$205^A31,IF(A31='Données projet'!$A$88,'Données projet'!$B$88,BD30+BC31-BL30)))</f>
        <v>139.40000000000003</v>
      </c>
      <c r="BE31" s="14">
        <f>BD31*VLOOKUP('Données projet'!$B$11,Paramètres!$A$1:$I$89,3,0)*VLOOKUP('Données projet'!$B$11,Paramètres!$A$1:$I$89,5,0)</f>
        <v>91.334880000000013</v>
      </c>
      <c r="BF31" s="14">
        <f t="shared" si="37"/>
        <v>24.886889521433787</v>
      </c>
      <c r="BG31" s="22">
        <f t="shared" si="7"/>
        <v>202.41958191649721</v>
      </c>
      <c r="BH31" s="62">
        <f t="shared" si="8"/>
        <v>495.75291524983049</v>
      </c>
      <c r="BI31" s="62">
        <f ca="1">AVERAGE(OFFSET($BH$3,0,0,'Données projet'!$E$11+1,1))-AVERAGE(OFFSET($H$3,0,0,'Données projet'!$E$11+1,1))</f>
        <v>154.44480170404967</v>
      </c>
      <c r="BJ31" s="62">
        <f t="shared" si="38"/>
        <v>186.45728006007272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7.8</v>
      </c>
      <c r="BY31" s="13">
        <f>IF('Données projet'!$A$114&gt;35,BY30+BX31-CG30,IF(A31&lt;'Données projet'!$A$114,$BV$205^A31,IF(A31='Données projet'!$A$114,'Données projet'!$B$114,BY30+BX31-CG30)))</f>
        <v>139.40000000000003</v>
      </c>
      <c r="BZ31" s="14">
        <f>BY31*VLOOKUP('Données projet'!$B$12,Paramètres!$A$1:$I$89,3,0)*VLOOKUP('Données projet'!$B$12,Paramètres!$A$1:$I$89,5,0)</f>
        <v>91.334880000000013</v>
      </c>
      <c r="CA31" s="14">
        <f t="shared" si="39"/>
        <v>24.886889521433787</v>
      </c>
      <c r="CB31" s="22">
        <f t="shared" si="10"/>
        <v>202.41958191649721</v>
      </c>
      <c r="CC31" s="62">
        <f t="shared" si="11"/>
        <v>495.75291524983049</v>
      </c>
      <c r="CD31" s="62">
        <f ca="1">AVERAGE(OFFSET($CC$3,0,0,'Données projet'!$E$12+1,1))-AVERAGE(OFFSET($H$3,0,0,'Données projet'!$E$12+1,1))</f>
        <v>154.44480170404967</v>
      </c>
      <c r="CE31" s="62">
        <f t="shared" si="40"/>
        <v>186.45728006007272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9">
        <f t="shared" si="1"/>
        <v>330.12546015243771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10.8</v>
      </c>
      <c r="N32" s="14">
        <f>IF('Données projet'!$A$36&gt;35,N31+M32-V31,IF(A32&lt;'Données projet'!$A$36,$K$205^A32,IF(A32='Données projet'!$A$36,'Données projet'!$B$36,N31+M32-V31)))</f>
        <v>129.19999999999999</v>
      </c>
      <c r="O32" s="14">
        <f>N32*VLOOKUP('Données projet'!$B$9,Paramètres!$A$1:$I$89,3,0)*VLOOKUP('Données projet'!$B$9,Paramètres!$A$1:$I$89,5,0)</f>
        <v>73.902399999999986</v>
      </c>
      <c r="P32" s="14">
        <f t="shared" si="33"/>
        <v>20.639480080340533</v>
      </c>
      <c r="Q32" s="22">
        <f t="shared" si="2"/>
        <v>164.66044113992641</v>
      </c>
      <c r="R32" s="62">
        <f t="shared" si="0"/>
        <v>457.99377447325969</v>
      </c>
      <c r="S32" s="62">
        <f ca="1">AVERAGE(OFFSET($R$3,0,0,'Données projet'!$E$9+1,1))-AVERAGE(OFFSET($H$3,0,0,'Données projet'!$E$9+1,1))</f>
        <v>178.42783874015521</v>
      </c>
      <c r="T32" s="62">
        <f t="shared" si="34"/>
        <v>140.03904900962556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1.8264592701707514</v>
      </c>
      <c r="AB32" s="23">
        <f>EXP(-LN(2)/2)*AB31+(1-EXP(-LN(2)/2))/(LN(2)/2)*V32*Y32*VLOOKUP('Données projet'!$B$9,Paramètres!$A$1:$I$89,3,0)*0.475*44/12</f>
        <v>0.97145531127770801</v>
      </c>
      <c r="AC32" s="24">
        <f t="shared" si="3"/>
        <v>2.7979145814484596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9.6666666666666661</v>
      </c>
      <c r="AI32" s="14">
        <f>IF('Données projet'!$A$62&gt;35,AI31+AH32-AQ31,IF(A32&lt;'Données projet'!$A$62,$AF$205^A32,IF(A32='Données projet'!$A$62,'Données projet'!$B$62,AI31+AH32-AQ31)))</f>
        <v>122.33333333333334</v>
      </c>
      <c r="AJ32" s="14">
        <f>AI32*VLOOKUP('Données projet'!$B$10,Paramètres!$A$1:$I$89,3,0)*VLOOKUP('Données projet'!$B$10,Paramètres!$A$1:$I$89,5,0)</f>
        <v>73.155333333333346</v>
      </c>
      <c r="AK32" s="14">
        <f t="shared" si="35"/>
        <v>20.455016056663315</v>
      </c>
      <c r="AL32" s="22">
        <f t="shared" si="4"/>
        <v>163.03802518757752</v>
      </c>
      <c r="AM32" s="62">
        <f t="shared" si="5"/>
        <v>456.3713585209108</v>
      </c>
      <c r="AN32" s="62">
        <f ca="1">AVERAGE(OFFSET($AM$3,0,0,'Données projet'!$E$10+1,1))-AVERAGE(OFFSET($H$3,0,0,'Données projet'!$E$10+1,1))</f>
        <v>216.16876563248064</v>
      </c>
      <c r="AO32" s="62">
        <f t="shared" si="36"/>
        <v>137.55906339137317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7.8</v>
      </c>
      <c r="BD32" s="13">
        <f>IF('Données projet'!$A$88&gt;35,BD31+BC32-BL31,IF(A32&lt;'Données projet'!$A$88,$BA$205^A32,IF(A32='Données projet'!$A$88,'Données projet'!$B$88,BD31+BC32-BL31)))</f>
        <v>147.20000000000005</v>
      </c>
      <c r="BE32" s="14">
        <f>BD32*VLOOKUP('Données projet'!$B$11,Paramètres!$A$1:$I$89,3,0)*VLOOKUP('Données projet'!$B$11,Paramètres!$A$1:$I$89,5,0)</f>
        <v>96.445440000000033</v>
      </c>
      <c r="BF32" s="14">
        <f t="shared" si="37"/>
        <v>26.113397153228323</v>
      </c>
      <c r="BG32" s="22">
        <f t="shared" si="7"/>
        <v>213.45664137520603</v>
      </c>
      <c r="BH32" s="62">
        <f t="shared" si="8"/>
        <v>506.78997470853938</v>
      </c>
      <c r="BI32" s="62">
        <f ca="1">AVERAGE(OFFSET($BH$3,0,0,'Données projet'!$E$11+1,1))-AVERAGE(OFFSET($H$3,0,0,'Données projet'!$E$11+1,1))</f>
        <v>154.44480170404967</v>
      </c>
      <c r="BJ32" s="62">
        <f t="shared" si="38"/>
        <v>186.45728006007272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7.8</v>
      </c>
      <c r="BY32" s="13">
        <f>IF('Données projet'!$A$114&gt;35,BY31+BX32-CG31,IF(A32&lt;'Données projet'!$A$114,$BV$205^A32,IF(A32='Données projet'!$A$114,'Données projet'!$B$114,BY31+BX32-CG31)))</f>
        <v>147.20000000000005</v>
      </c>
      <c r="BZ32" s="14">
        <f>BY32*VLOOKUP('Données projet'!$B$12,Paramètres!$A$1:$I$89,3,0)*VLOOKUP('Données projet'!$B$12,Paramètres!$A$1:$I$89,5,0)</f>
        <v>96.445440000000033</v>
      </c>
      <c r="CA32" s="14">
        <f t="shared" si="39"/>
        <v>26.113397153228323</v>
      </c>
      <c r="CB32" s="22">
        <f t="shared" si="10"/>
        <v>213.45664137520603</v>
      </c>
      <c r="CC32" s="62">
        <f t="shared" si="11"/>
        <v>506.78997470853938</v>
      </c>
      <c r="CD32" s="62">
        <f ca="1">AVERAGE(OFFSET($CC$3,0,0,'Données projet'!$E$12+1,1))-AVERAGE(OFFSET($H$3,0,0,'Données projet'!$E$12+1,1))</f>
        <v>154.44480170404967</v>
      </c>
      <c r="CE32" s="62">
        <f t="shared" si="40"/>
        <v>186.45728006007272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9">
        <f t="shared" si="1"/>
        <v>331.35661242347447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140</v>
      </c>
      <c r="L33" s="13">
        <f>VLOOKUP(A33,'Données projet'!$A$35:$I$55,9,0)</f>
        <v>10.8</v>
      </c>
      <c r="M33" s="13">
        <f t="array" ref="M33">INDEX(L:L,MIN(IF(ISNUMBER(L33:L229),ROW(L33:L229),"")))</f>
        <v>10.8</v>
      </c>
      <c r="N33" s="14">
        <f>IF('Données projet'!$A$36&gt;35,N32+M33-V32,IF(A33&lt;'Données projet'!$A$36,$K$205^A33,IF(A33='Données projet'!$A$36,'Données projet'!$B$36,N32+M33-V32)))</f>
        <v>140</v>
      </c>
      <c r="O33" s="14">
        <f>N33*VLOOKUP('Données projet'!$B$9,Paramètres!$A$1:$I$89,3,0)*VLOOKUP('Données projet'!$B$9,Paramètres!$A$1:$I$89,5,0)</f>
        <v>80.08</v>
      </c>
      <c r="P33" s="14">
        <f t="shared" si="33"/>
        <v>22.156743406564633</v>
      </c>
      <c r="Q33" s="22">
        <f t="shared" si="2"/>
        <v>178.06232809976675</v>
      </c>
      <c r="R33" s="62">
        <f t="shared" si="0"/>
        <v>471.39566143310003</v>
      </c>
      <c r="S33" s="62">
        <f ca="1">AVERAGE(OFFSET($R$3,0,0,'Données projet'!$E$9+1,1))-AVERAGE(OFFSET($H$3,0,0,'Données projet'!$E$9+1,1))</f>
        <v>178.42783874015521</v>
      </c>
      <c r="T33" s="62">
        <f t="shared" si="34"/>
        <v>140.03904900962556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1.7765146453786136</v>
      </c>
      <c r="AB33" s="23">
        <f>EXP(-LN(2)/2)*AB32+(1-EXP(-LN(2)/2))/(LN(2)/2)*V33*Y33*VLOOKUP('Données projet'!$B$9,Paramètres!$A$1:$I$89,3,0)*0.475*44/12</f>
        <v>0.68692263822415578</v>
      </c>
      <c r="AC33" s="24">
        <f t="shared" si="3"/>
        <v>2.4634372836027696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132</v>
      </c>
      <c r="AG33" s="13">
        <f>VLOOKUP(A33,'Données projet'!$A$61:$I$81,9,0)</f>
        <v>9.6666666666666661</v>
      </c>
      <c r="AH33" s="13">
        <f t="array" ref="AH33">INDEX(AG:AG,MIN(IF(ISNUMBER(AG33:AG229),ROW(AG33:AG229),"")))</f>
        <v>9.6666666666666661</v>
      </c>
      <c r="AI33" s="14">
        <f>IF('Données projet'!$A$62&gt;35,AI32+AH33-AQ32,IF(A33&lt;'Données projet'!$A$62,$AF$205^A33,IF(A33='Données projet'!$A$62,'Données projet'!$B$62,AI32+AH33-AQ32)))</f>
        <v>132</v>
      </c>
      <c r="AJ33" s="14">
        <f>AI33*VLOOKUP('Données projet'!$B$10,Paramètres!$A$1:$I$89,3,0)*VLOOKUP('Données projet'!$B$10,Paramètres!$A$1:$I$89,5,0)</f>
        <v>78.936000000000007</v>
      </c>
      <c r="AK33" s="14">
        <f t="shared" si="35"/>
        <v>21.876828219051273</v>
      </c>
      <c r="AL33" s="22">
        <f t="shared" si="4"/>
        <v>175.5823424815143</v>
      </c>
      <c r="AM33" s="62">
        <f t="shared" si="5"/>
        <v>468.91567581484765</v>
      </c>
      <c r="AN33" s="62">
        <f ca="1">AVERAGE(OFFSET($AM$3,0,0,'Données projet'!$E$10+1,1))-AVERAGE(OFFSET($H$3,0,0,'Données projet'!$E$10+1,1))</f>
        <v>216.16876563248064</v>
      </c>
      <c r="AO33" s="62">
        <f t="shared" si="36"/>
        <v>137.55906339137317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0.22500000000000001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2.3112240749302715</v>
      </c>
      <c r="AW33" s="23">
        <f>EXP(-LN(2)/2)*AW32+(1-EXP(-LN(2)/2))/(LN(2)/2)*AQ33*AT33*VLOOKUP('Données projet'!$B$10,Paramètres!$A$1:$I$89,3,0)*0.475*44/12</f>
        <v>4.4009869404853736</v>
      </c>
      <c r="AX33" s="23">
        <f t="shared" si="6"/>
        <v>6.7122110154156456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155</v>
      </c>
      <c r="BB33" s="13">
        <f>VLOOKUP(A33,'Données projet'!$A$87:$I$107,9,0)</f>
        <v>7.8</v>
      </c>
      <c r="BC33" s="13">
        <f t="array" ref="BC33">INDEX(BB:BB,MIN(IF(ISNUMBER(BB33:BB229),ROW(BB33:BB229),"")))</f>
        <v>7.8</v>
      </c>
      <c r="BD33" s="13">
        <f>IF('Données projet'!$A$88&gt;35,BD32+BC33-BL32,IF(A33&lt;'Données projet'!$A$88,$BA$205^A33,IF(A33='Données projet'!$A$88,'Données projet'!$B$88,BD32+BC33-BL32)))</f>
        <v>155.00000000000006</v>
      </c>
      <c r="BE33" s="14">
        <f>BD33*VLOOKUP('Données projet'!$B$11,Paramètres!$A$1:$I$89,3,0)*VLOOKUP('Données projet'!$B$11,Paramètres!$A$1:$I$89,5,0)</f>
        <v>101.55600000000004</v>
      </c>
      <c r="BF33" s="14">
        <f t="shared" si="37"/>
        <v>27.332359320696934</v>
      </c>
      <c r="BG33" s="22">
        <f t="shared" si="7"/>
        <v>224.48055915021391</v>
      </c>
      <c r="BH33" s="62">
        <f t="shared" si="8"/>
        <v>517.81389248354719</v>
      </c>
      <c r="BI33" s="62">
        <f ca="1">AVERAGE(OFFSET($BH$3,0,0,'Données projet'!$E$11+1,1))-AVERAGE(OFFSET($H$3,0,0,'Données projet'!$E$11+1,1))</f>
        <v>154.44480170404967</v>
      </c>
      <c r="BJ33" s="62">
        <f t="shared" si="38"/>
        <v>186.45728006007272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38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155</v>
      </c>
      <c r="BW33" s="13">
        <f>VLOOKUP(A33,'Données projet'!$A$113:$I$133,9,0)</f>
        <v>7.8</v>
      </c>
      <c r="BX33" s="13">
        <f t="array" ref="BX33">INDEX(BW:BW,MIN(IF(ISNUMBER(BW33:BW229),ROW(BW33:BW229),"")))</f>
        <v>7.8</v>
      </c>
      <c r="BY33" s="13">
        <f>IF('Données projet'!$A$114&gt;35,BY32+BX33-CG32,IF(A33&lt;'Données projet'!$A$114,$BV$205^A33,IF(A33='Données projet'!$A$114,'Données projet'!$B$114,BY32+BX33-CG32)))</f>
        <v>155.00000000000006</v>
      </c>
      <c r="BZ33" s="14">
        <f>BY33*VLOOKUP('Données projet'!$B$12,Paramètres!$A$1:$I$89,3,0)*VLOOKUP('Données projet'!$B$12,Paramètres!$A$1:$I$89,5,0)</f>
        <v>101.55600000000004</v>
      </c>
      <c r="CA33" s="14">
        <f t="shared" si="39"/>
        <v>27.332359320696934</v>
      </c>
      <c r="CB33" s="22">
        <f t="shared" si="10"/>
        <v>224.48055915021391</v>
      </c>
      <c r="CC33" s="62">
        <f t="shared" si="11"/>
        <v>517.81389248354719</v>
      </c>
      <c r="CD33" s="62">
        <f ca="1">AVERAGE(OFFSET($CC$3,0,0,'Données projet'!$E$12+1,1))-AVERAGE(OFFSET($H$3,0,0,'Données projet'!$E$12+1,1))</f>
        <v>154.44480170404967</v>
      </c>
      <c r="CE33" s="62">
        <f t="shared" si="40"/>
        <v>186.45728006007272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9">
        <f t="shared" si="1"/>
        <v>332.58667940379132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127.80000000000001</v>
      </c>
      <c r="O34" s="14">
        <f>N34*VLOOKUP('Données projet'!$B$9,Paramètres!$A$1:$I$89,3,0)*VLOOKUP('Données projet'!$B$9,Paramètres!$A$1:$I$89,5,0)</f>
        <v>73.101600000000005</v>
      </c>
      <c r="P34" s="14">
        <f t="shared" si="33"/>
        <v>20.441739914591079</v>
      </c>
      <c r="Q34" s="22">
        <f t="shared" si="2"/>
        <v>162.9213170179128</v>
      </c>
      <c r="R34" s="62">
        <f t="shared" si="0"/>
        <v>456.25465035124614</v>
      </c>
      <c r="S34" s="62">
        <f ca="1">AVERAGE(OFFSET($R$3,0,0,'Données projet'!$E$9+1,1))-AVERAGE(OFFSET($H$3,0,0,'Données projet'!$E$9+1,1))</f>
        <v>178.42783874015521</v>
      </c>
      <c r="T34" s="62">
        <f t="shared" si="34"/>
        <v>140.03904900962556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1.7279357589778905</v>
      </c>
      <c r="AB34" s="23">
        <f>EXP(-LN(2)/2)*AB33+(1-EXP(-LN(2)/2))/(LN(2)/2)*V34*Y34*VLOOKUP('Données projet'!$B$9,Paramètres!$A$1:$I$89,3,0)*0.475*44/12</f>
        <v>0.48572765563885412</v>
      </c>
      <c r="AC34" s="24">
        <f t="shared" si="3"/>
        <v>2.2136634146167449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129</v>
      </c>
      <c r="AJ34" s="14">
        <f>AI34*VLOOKUP('Données projet'!$B$10,Paramètres!$A$1:$I$89,3,0)*VLOOKUP('Données projet'!$B$10,Paramètres!$A$1:$I$89,5,0)</f>
        <v>77.14200000000001</v>
      </c>
      <c r="AK34" s="14">
        <f t="shared" si="35"/>
        <v>21.436915648510755</v>
      </c>
      <c r="AL34" s="22">
        <f t="shared" si="4"/>
        <v>171.69161142115624</v>
      </c>
      <c r="AM34" s="62">
        <f t="shared" si="5"/>
        <v>465.02494475448952</v>
      </c>
      <c r="AN34" s="62">
        <f ca="1">AVERAGE(OFFSET($AM$3,0,0,'Données projet'!$E$10+1,1))-AVERAGE(OFFSET($H$3,0,0,'Données projet'!$E$10+1,1))</f>
        <v>216.16876563248064</v>
      </c>
      <c r="AO34" s="62">
        <f t="shared" si="36"/>
        <v>137.55906339137317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2.2480235310593115</v>
      </c>
      <c r="AW34" s="23">
        <f>EXP(-LN(2)/2)*AW33+(1-EXP(-LN(2)/2))/(LN(2)/2)*AQ34*AT34*VLOOKUP('Données projet'!$B$10,Paramètres!$A$1:$I$89,3,0)*0.475*44/12</f>
        <v>3.1119677095306444</v>
      </c>
      <c r="AX34" s="23">
        <f t="shared" si="6"/>
        <v>5.3599912405899559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7.2</v>
      </c>
      <c r="BD34" s="13">
        <f>IF('Données projet'!$A$88&gt;35,BD33+BC34-BL33,IF(A34&lt;'Données projet'!$A$88,$BA$205^A34,IF(A34='Données projet'!$A$88,'Données projet'!$B$88,BD33+BC34-BL33)))</f>
        <v>124.20000000000005</v>
      </c>
      <c r="BE34" s="14">
        <f>BD34*VLOOKUP('Données projet'!$B$11,Paramètres!$A$1:$I$89,3,0)*VLOOKUP('Données projet'!$B$11,Paramètres!$A$1:$I$89,5,0)</f>
        <v>81.375840000000025</v>
      </c>
      <c r="BF34" s="14">
        <f t="shared" si="37"/>
        <v>22.473249586041131</v>
      </c>
      <c r="BG34" s="22">
        <f t="shared" si="7"/>
        <v>180.87049769568833</v>
      </c>
      <c r="BH34" s="62">
        <f t="shared" si="8"/>
        <v>474.20383102902167</v>
      </c>
      <c r="BI34" s="62">
        <f ca="1">AVERAGE(OFFSET($BH$3,0,0,'Données projet'!$E$11+1,1))-AVERAGE(OFFSET($H$3,0,0,'Données projet'!$E$11+1,1))</f>
        <v>154.44480170404967</v>
      </c>
      <c r="BJ34" s="62">
        <f t="shared" si="38"/>
        <v>186.45728006007272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7.2</v>
      </c>
      <c r="BY34" s="13">
        <f>IF('Données projet'!$A$114&gt;35,BY33+BX34-CG33,IF(A34&lt;'Données projet'!$A$114,$BV$205^A34,IF(A34='Données projet'!$A$114,'Données projet'!$B$114,BY33+BX34-CG33)))</f>
        <v>124.20000000000005</v>
      </c>
      <c r="BZ34" s="14">
        <f>BY34*VLOOKUP('Données projet'!$B$12,Paramètres!$A$1:$I$89,3,0)*VLOOKUP('Données projet'!$B$12,Paramètres!$A$1:$I$89,5,0)</f>
        <v>81.375840000000025</v>
      </c>
      <c r="CA34" s="14">
        <f t="shared" si="39"/>
        <v>22.473249586041131</v>
      </c>
      <c r="CB34" s="22">
        <f t="shared" si="10"/>
        <v>180.87049769568833</v>
      </c>
      <c r="CC34" s="62">
        <f t="shared" si="11"/>
        <v>474.20383102902167</v>
      </c>
      <c r="CD34" s="62">
        <f ca="1">AVERAGE(OFFSET($CC$3,0,0,'Données projet'!$E$12+1,1))-AVERAGE(OFFSET($H$3,0,0,'Données projet'!$E$12+1,1))</f>
        <v>154.44480170404967</v>
      </c>
      <c r="CE34" s="62">
        <f t="shared" si="40"/>
        <v>186.45728006007272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9">
        <f t="shared" si="1"/>
        <v>333.81570011831167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138.60000000000002</v>
      </c>
      <c r="O35" s="14">
        <f>N35*VLOOKUP('Données projet'!$B$9,Paramètres!$A$1:$I$89,3,0)*VLOOKUP('Données projet'!$B$9,Paramètres!$A$1:$I$89,5,0)</f>
        <v>79.279200000000017</v>
      </c>
      <c r="P35" s="14">
        <f t="shared" si="33"/>
        <v>21.960852053344638</v>
      </c>
      <c r="Q35" s="22">
        <f t="shared" ref="Q35:Q66" si="53">(O35+P35)*0.475*44/12</f>
        <v>176.32642399290862</v>
      </c>
      <c r="R35" s="62">
        <f t="shared" si="0"/>
        <v>469.6597573262419</v>
      </c>
      <c r="S35" s="62">
        <f ca="1">AVERAGE(OFFSET($R$3,0,0,'Données projet'!$E$9+1,1))-AVERAGE(OFFSET($H$3,0,0,'Données projet'!$E$9+1,1))</f>
        <v>178.42783874015521</v>
      </c>
      <c r="T35" s="62">
        <f t="shared" si="34"/>
        <v>140.03904900962556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1.6806852647804478</v>
      </c>
      <c r="AB35" s="23">
        <f>EXP(-LN(2)/2)*AB34+(1-EXP(-LN(2)/2))/(LN(2)/2)*V35*Y35*VLOOKUP('Données projet'!$B$9,Paramètres!$A$1:$I$89,3,0)*0.475*44/12</f>
        <v>0.34346131911207795</v>
      </c>
      <c r="AC35" s="24">
        <f t="shared" si="3"/>
        <v>2.0241465838925259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139</v>
      </c>
      <c r="AJ35" s="14">
        <f>AI35*VLOOKUP('Données projet'!$B$10,Paramètres!$A$1:$I$89,3,0)*VLOOKUP('Données projet'!$B$10,Paramètres!$A$1:$I$89,5,0)</f>
        <v>83.122000000000014</v>
      </c>
      <c r="AK35" s="14">
        <f t="shared" si="35"/>
        <v>22.898820278178533</v>
      </c>
      <c r="AL35" s="22">
        <f t="shared" si="4"/>
        <v>184.65292865116098</v>
      </c>
      <c r="AM35" s="62">
        <f t="shared" si="5"/>
        <v>477.98626198449426</v>
      </c>
      <c r="AN35" s="62">
        <f ca="1">AVERAGE(OFFSET($AM$3,0,0,'Données projet'!$E$10+1,1))-AVERAGE(OFFSET($H$3,0,0,'Données projet'!$E$10+1,1))</f>
        <v>216.16876563248064</v>
      </c>
      <c r="AO35" s="62">
        <f t="shared" si="36"/>
        <v>137.55906339137317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2.1865512093840751</v>
      </c>
      <c r="AW35" s="23">
        <f>EXP(-LN(2)/2)*AW34+(1-EXP(-LN(2)/2))/(LN(2)/2)*AQ35*AT35*VLOOKUP('Données projet'!$B$10,Paramètres!$A$1:$I$89,3,0)*0.475*44/12</f>
        <v>2.2004934702426868</v>
      </c>
      <c r="AX35" s="23">
        <f t="shared" si="6"/>
        <v>4.3870446796267615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7.2</v>
      </c>
      <c r="BD35" s="13">
        <f>IF('Données projet'!$A$88&gt;35,BD34+BC35-BL34,IF(A35&lt;'Données projet'!$A$88,$BA$205^A35,IF(A35='Données projet'!$A$88,'Données projet'!$B$88,BD34+BC35-BL34)))</f>
        <v>131.40000000000003</v>
      </c>
      <c r="BE35" s="14">
        <f>BD35*VLOOKUP('Données projet'!$B$11,Paramètres!$A$1:$I$89,3,0)*VLOOKUP('Données projet'!$B$11,Paramètres!$A$1:$I$89,5,0)</f>
        <v>86.093280000000021</v>
      </c>
      <c r="BF35" s="14">
        <f t="shared" si="37"/>
        <v>23.620598504835936</v>
      </c>
      <c r="BG35" s="22">
        <f t="shared" si="7"/>
        <v>191.08500506258929</v>
      </c>
      <c r="BH35" s="62">
        <f t="shared" si="8"/>
        <v>484.4183383959226</v>
      </c>
      <c r="BI35" s="62">
        <f ca="1">AVERAGE(OFFSET($BH$3,0,0,'Données projet'!$E$11+1,1))-AVERAGE(OFFSET($H$3,0,0,'Données projet'!$E$11+1,1))</f>
        <v>154.44480170404967</v>
      </c>
      <c r="BJ35" s="62">
        <f t="shared" si="38"/>
        <v>186.45728006007272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7.2</v>
      </c>
      <c r="BY35" s="13">
        <f>IF('Données projet'!$A$114&gt;35,BY34+BX35-CG34,IF(A35&lt;'Données projet'!$A$114,$BV$205^A35,IF(A35='Données projet'!$A$114,'Données projet'!$B$114,BY34+BX35-CG34)))</f>
        <v>131.40000000000003</v>
      </c>
      <c r="BZ35" s="14">
        <f>BY35*VLOOKUP('Données projet'!$B$12,Paramètres!$A$1:$I$89,3,0)*VLOOKUP('Données projet'!$B$12,Paramètres!$A$1:$I$89,5,0)</f>
        <v>86.093280000000021</v>
      </c>
      <c r="CA35" s="14">
        <f t="shared" si="39"/>
        <v>23.620598504835936</v>
      </c>
      <c r="CB35" s="22">
        <f t="shared" si="10"/>
        <v>191.08500506258929</v>
      </c>
      <c r="CC35" s="62">
        <f t="shared" si="11"/>
        <v>484.4183383959226</v>
      </c>
      <c r="CD35" s="62">
        <f ca="1">AVERAGE(OFFSET($CC$3,0,0,'Données projet'!$E$12+1,1))-AVERAGE(OFFSET($H$3,0,0,'Données projet'!$E$12+1,1))</f>
        <v>154.44480170404967</v>
      </c>
      <c r="CE35" s="62">
        <f t="shared" si="40"/>
        <v>186.45728006007272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9">
        <f t="shared" si="1"/>
        <v>335.04371101436357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149.40000000000003</v>
      </c>
      <c r="O36" s="14">
        <f>N36*VLOOKUP('Données projet'!$B$9,Paramètres!$A$1:$I$89,3,0)*VLOOKUP('Données projet'!$B$9,Paramètres!$A$1:$I$89,5,0)</f>
        <v>85.45680000000003</v>
      </c>
      <c r="P36" s="14">
        <f t="shared" si="33"/>
        <v>23.466233286749581</v>
      </c>
      <c r="Q36" s="22">
        <f t="shared" si="53"/>
        <v>189.70761630775556</v>
      </c>
      <c r="R36" s="62">
        <f t="shared" si="0"/>
        <v>483.0409496410889</v>
      </c>
      <c r="S36" s="62">
        <f ca="1">AVERAGE(OFFSET($R$3,0,0,'Données projet'!$E$9+1,1))-AVERAGE(OFFSET($H$3,0,0,'Données projet'!$E$9+1,1))</f>
        <v>178.42783874015521</v>
      </c>
      <c r="T36" s="62">
        <f t="shared" si="34"/>
        <v>140.03904900962556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1.6347268378316295</v>
      </c>
      <c r="AB36" s="23">
        <f>EXP(-LN(2)/2)*AB35+(1-EXP(-LN(2)/2))/(LN(2)/2)*V36*Y36*VLOOKUP('Données projet'!$B$9,Paramètres!$A$1:$I$89,3,0)*0.475*44/12</f>
        <v>0.24286382781942709</v>
      </c>
      <c r="AC36" s="24">
        <f t="shared" si="3"/>
        <v>1.8775906656510566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149</v>
      </c>
      <c r="AJ36" s="14">
        <f>AI36*VLOOKUP('Données projet'!$B$10,Paramètres!$A$1:$I$89,3,0)*VLOOKUP('Données projet'!$B$10,Paramètres!$A$1:$I$89,5,0)</f>
        <v>89.102000000000018</v>
      </c>
      <c r="AK36" s="14">
        <f t="shared" si="35"/>
        <v>24.348522781128082</v>
      </c>
      <c r="AL36" s="22">
        <f t="shared" si="4"/>
        <v>197.5929938437981</v>
      </c>
      <c r="AM36" s="62">
        <f t="shared" si="5"/>
        <v>490.92632717713138</v>
      </c>
      <c r="AN36" s="62">
        <f ca="1">AVERAGE(OFFSET($AM$3,0,0,'Données projet'!$E$10+1,1))-AVERAGE(OFFSET($H$3,0,0,'Données projet'!$E$10+1,1))</f>
        <v>216.16876563248064</v>
      </c>
      <c r="AO36" s="62">
        <f t="shared" si="36"/>
        <v>137.55906339137317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2.1267598515777371</v>
      </c>
      <c r="AW36" s="23">
        <f>EXP(-LN(2)/2)*AW35+(1-EXP(-LN(2)/2))/(LN(2)/2)*AQ36*AT36*VLOOKUP('Données projet'!$B$10,Paramètres!$A$1:$I$89,3,0)*0.475*44/12</f>
        <v>1.5559838547653222</v>
      </c>
      <c r="AX36" s="23">
        <f t="shared" si="6"/>
        <v>3.682743706343059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7.2</v>
      </c>
      <c r="BD36" s="13">
        <f>IF('Données projet'!$A$88&gt;35,BD35+BC36-BL35,IF(A36&lt;'Données projet'!$A$88,$BA$205^A36,IF(A36='Données projet'!$A$88,'Données projet'!$B$88,BD35+BC36-BL35)))</f>
        <v>138.60000000000002</v>
      </c>
      <c r="BE36" s="14">
        <f>BD36*VLOOKUP('Données projet'!$B$11,Paramètres!$A$1:$I$89,3,0)*VLOOKUP('Données projet'!$B$11,Paramètres!$A$1:$I$89,5,0)</f>
        <v>90.810720000000018</v>
      </c>
      <c r="BF36" s="14">
        <f t="shared" si="37"/>
        <v>24.760648970178458</v>
      </c>
      <c r="BG36" s="22">
        <f t="shared" si="7"/>
        <v>201.28680095639413</v>
      </c>
      <c r="BH36" s="62">
        <f t="shared" si="8"/>
        <v>494.62013428972745</v>
      </c>
      <c r="BI36" s="62">
        <f ca="1">AVERAGE(OFFSET($BH$3,0,0,'Données projet'!$E$11+1,1))-AVERAGE(OFFSET($H$3,0,0,'Données projet'!$E$11+1,1))</f>
        <v>154.44480170404967</v>
      </c>
      <c r="BJ36" s="62">
        <f t="shared" si="38"/>
        <v>186.45728006007272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7.2</v>
      </c>
      <c r="BY36" s="13">
        <f>IF('Données projet'!$A$114&gt;35,BY35+BX36-CG35,IF(A36&lt;'Données projet'!$A$114,$BV$205^A36,IF(A36='Données projet'!$A$114,'Données projet'!$B$114,BY35+BX36-CG35)))</f>
        <v>138.60000000000002</v>
      </c>
      <c r="BZ36" s="14">
        <f>BY36*VLOOKUP('Données projet'!$B$12,Paramètres!$A$1:$I$89,3,0)*VLOOKUP('Données projet'!$B$12,Paramètres!$A$1:$I$89,5,0)</f>
        <v>90.810720000000018</v>
      </c>
      <c r="CA36" s="14">
        <f t="shared" si="39"/>
        <v>24.760648970178458</v>
      </c>
      <c r="CB36" s="22">
        <f t="shared" si="10"/>
        <v>201.28680095639413</v>
      </c>
      <c r="CC36" s="62">
        <f t="shared" si="11"/>
        <v>494.62013428972745</v>
      </c>
      <c r="CD36" s="62">
        <f ca="1">AVERAGE(OFFSET($CC$3,0,0,'Données projet'!$E$12+1,1))-AVERAGE(OFFSET($H$3,0,0,'Données projet'!$E$12+1,1))</f>
        <v>154.44480170404967</v>
      </c>
      <c r="CE36" s="62">
        <f t="shared" si="40"/>
        <v>186.45728006007272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9">
        <f t="shared" si="1"/>
        <v>336.27074620482119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160.20000000000005</v>
      </c>
      <c r="O37" s="14">
        <f>N37*VLOOKUP('Données projet'!$B$9,Paramètres!$A$1:$I$89,3,0)*VLOOKUP('Données projet'!$B$9,Paramètres!$A$1:$I$89,5,0)</f>
        <v>91.634400000000028</v>
      </c>
      <c r="P37" s="14">
        <f t="shared" si="33"/>
        <v>24.958989094949281</v>
      </c>
      <c r="Q37" s="22">
        <f t="shared" si="53"/>
        <v>203.06681934037002</v>
      </c>
      <c r="R37" s="62">
        <f t="shared" si="0"/>
        <v>496.40015267370336</v>
      </c>
      <c r="S37" s="62">
        <f ca="1">AVERAGE(OFFSET($R$3,0,0,'Données projet'!$E$9+1,1))-AVERAGE(OFFSET($H$3,0,0,'Données projet'!$E$9+1,1))</f>
        <v>178.42783874015521</v>
      </c>
      <c r="T37" s="62">
        <f t="shared" si="34"/>
        <v>140.03904900962556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1.5900251464845754</v>
      </c>
      <c r="AB37" s="23">
        <f>EXP(-LN(2)/2)*AB36+(1-EXP(-LN(2)/2))/(LN(2)/2)*V37*Y37*VLOOKUP('Données projet'!$B$9,Paramètres!$A$1:$I$89,3,0)*0.475*44/12</f>
        <v>0.171730659556039</v>
      </c>
      <c r="AC37" s="24">
        <f t="shared" si="3"/>
        <v>1.7617558060406144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159</v>
      </c>
      <c r="AJ37" s="14">
        <f>AI37*VLOOKUP('Données projet'!$B$10,Paramètres!$A$1:$I$89,3,0)*VLOOKUP('Données projet'!$B$10,Paramètres!$A$1:$I$89,5,0)</f>
        <v>95.082000000000008</v>
      </c>
      <c r="AK37" s="14">
        <f t="shared" si="35"/>
        <v>25.786935269387122</v>
      </c>
      <c r="AL37" s="22">
        <f t="shared" si="4"/>
        <v>210.51339559418258</v>
      </c>
      <c r="AM37" s="62">
        <f t="shared" si="5"/>
        <v>503.84672892751587</v>
      </c>
      <c r="AN37" s="62">
        <f ca="1">AVERAGE(OFFSET($AM$3,0,0,'Données projet'!$E$10+1,1))-AVERAGE(OFFSET($H$3,0,0,'Données projet'!$E$10+1,1))</f>
        <v>216.16876563248064</v>
      </c>
      <c r="AO37" s="62">
        <f t="shared" si="36"/>
        <v>137.55906339137317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2.0686034915949039</v>
      </c>
      <c r="AW37" s="23">
        <f>EXP(-LN(2)/2)*AW36+(1-EXP(-LN(2)/2))/(LN(2)/2)*AQ37*AT37*VLOOKUP('Données projet'!$B$10,Paramètres!$A$1:$I$89,3,0)*0.475*44/12</f>
        <v>1.1002467351213434</v>
      </c>
      <c r="AX37" s="23">
        <f t="shared" si="6"/>
        <v>3.1688502267162475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7.2</v>
      </c>
      <c r="BD37" s="13">
        <f>IF('Données projet'!$A$88&gt;35,BD36+BC37-BL36,IF(A37&lt;'Données projet'!$A$88,$BA$205^A37,IF(A37='Données projet'!$A$88,'Données projet'!$B$88,BD36+BC37-BL36)))</f>
        <v>145.80000000000001</v>
      </c>
      <c r="BE37" s="14">
        <f>BD37*VLOOKUP('Données projet'!$B$11,Paramètres!$A$1:$I$89,3,0)*VLOOKUP('Données projet'!$B$11,Paramètres!$A$1:$I$89,5,0)</f>
        <v>95.528160000000014</v>
      </c>
      <c r="BF37" s="14">
        <f t="shared" si="37"/>
        <v>25.893823366813674</v>
      </c>
      <c r="BG37" s="22">
        <f t="shared" si="7"/>
        <v>211.47662103053383</v>
      </c>
      <c r="BH37" s="62">
        <f t="shared" si="8"/>
        <v>504.80995436386718</v>
      </c>
      <c r="BI37" s="62">
        <f ca="1">AVERAGE(OFFSET($BH$3,0,0,'Données projet'!$E$11+1,1))-AVERAGE(OFFSET($H$3,0,0,'Données projet'!$E$11+1,1))</f>
        <v>154.44480170404967</v>
      </c>
      <c r="BJ37" s="62">
        <f t="shared" si="38"/>
        <v>186.45728006007272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7.2</v>
      </c>
      <c r="BY37" s="13">
        <f>IF('Données projet'!$A$114&gt;35,BY36+BX37-CG36,IF(A37&lt;'Données projet'!$A$114,$BV$205^A37,IF(A37='Données projet'!$A$114,'Données projet'!$B$114,BY36+BX37-CG36)))</f>
        <v>145.80000000000001</v>
      </c>
      <c r="BZ37" s="14">
        <f>BY37*VLOOKUP('Données projet'!$B$12,Paramètres!$A$1:$I$89,3,0)*VLOOKUP('Données projet'!$B$12,Paramètres!$A$1:$I$89,5,0)</f>
        <v>95.528160000000014</v>
      </c>
      <c r="CA37" s="14">
        <f t="shared" si="39"/>
        <v>25.893823366813674</v>
      </c>
      <c r="CB37" s="22">
        <f t="shared" si="10"/>
        <v>211.47662103053383</v>
      </c>
      <c r="CC37" s="62">
        <f t="shared" si="11"/>
        <v>504.80995436386718</v>
      </c>
      <c r="CD37" s="62">
        <f ca="1">AVERAGE(OFFSET($CC$3,0,0,'Données projet'!$E$12+1,1))-AVERAGE(OFFSET($H$3,0,0,'Données projet'!$E$12+1,1))</f>
        <v>154.44480170404967</v>
      </c>
      <c r="CE37" s="62">
        <f t="shared" si="40"/>
        <v>186.45728006007272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9">
        <f t="shared" si="1"/>
        <v>337.49683768183723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171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171.00000000000006</v>
      </c>
      <c r="O38" s="14">
        <f>N38*VLOOKUP('Données projet'!$B$9,Paramètres!$A$1:$I$89,3,0)*VLOOKUP('Données projet'!$B$9,Paramètres!$A$1:$I$89,5,0)</f>
        <v>97.81200000000004</v>
      </c>
      <c r="P38" s="14">
        <f t="shared" si="33"/>
        <v>26.440067470123285</v>
      </c>
      <c r="Q38" s="22">
        <f t="shared" si="53"/>
        <v>216.40568417713143</v>
      </c>
      <c r="R38" s="62">
        <f t="shared" si="0"/>
        <v>509.73901751046475</v>
      </c>
      <c r="S38" s="62">
        <f ca="1">AVERAGE(OFFSET($R$3,0,0,'Données projet'!$E$9+1,1))-AVERAGE(OFFSET($H$3,0,0,'Données projet'!$E$9+1,1))</f>
        <v>178.42783874015521</v>
      </c>
      <c r="T38" s="62">
        <f t="shared" si="34"/>
        <v>140.03904900962556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1.5465458252381663</v>
      </c>
      <c r="AB38" s="23">
        <f>EXP(-LN(2)/2)*AB37+(1-EXP(-LN(2)/2))/(LN(2)/2)*V38*Y38*VLOOKUP('Données projet'!$B$9,Paramètres!$A$1:$I$89,3,0)*0.475*44/12</f>
        <v>0.12143191390971357</v>
      </c>
      <c r="AC38" s="24">
        <f t="shared" si="3"/>
        <v>1.6679777391478798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169</v>
      </c>
      <c r="AG38" s="13">
        <f>VLOOKUP(A38,'Données projet'!$A$61:$I$81,9,0)</f>
        <v>10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169</v>
      </c>
      <c r="AJ38" s="14">
        <f>AI38*VLOOKUP('Données projet'!$B$10,Paramètres!$A$1:$I$89,3,0)*VLOOKUP('Données projet'!$B$10,Paramètres!$A$1:$I$89,5,0)</f>
        <v>101.06200000000001</v>
      </c>
      <c r="AK38" s="14">
        <f t="shared" si="35"/>
        <v>27.214848638810562</v>
      </c>
      <c r="AL38" s="22">
        <f t="shared" si="4"/>
        <v>223.41551137926174</v>
      </c>
      <c r="AM38" s="62">
        <f t="shared" si="5"/>
        <v>516.74884471259509</v>
      </c>
      <c r="AN38" s="62">
        <f ca="1">AVERAGE(OFFSET($AM$3,0,0,'Données projet'!$E$10+1,1))-AVERAGE(OFFSET($H$3,0,0,'Données projet'!$E$10+1,1))</f>
        <v>216.16876563248064</v>
      </c>
      <c r="AO38" s="62">
        <f t="shared" si="36"/>
        <v>137.55906339137317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2.0120374203341114</v>
      </c>
      <c r="AW38" s="23">
        <f>EXP(-LN(2)/2)*AW37+(1-EXP(-LN(2)/2))/(LN(2)/2)*AQ38*AT38*VLOOKUP('Données projet'!$B$10,Paramètres!$A$1:$I$89,3,0)*0.475*44/12</f>
        <v>0.7779919273826611</v>
      </c>
      <c r="AX38" s="23">
        <f t="shared" si="6"/>
        <v>2.7900293477167724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153</v>
      </c>
      <c r="BB38" s="13">
        <f>VLOOKUP(A38,'Données projet'!$A$87:$I$107,9,0)</f>
        <v>7.2</v>
      </c>
      <c r="BC38" s="13">
        <f t="array" ref="BC38">INDEX(BB:BB,MIN(IF(ISNUMBER(BB38:BB234),ROW(BB38:BB234),"")))</f>
        <v>7.2</v>
      </c>
      <c r="BD38" s="13">
        <f>IF('Données projet'!$A$88&gt;35,BD37+BC38-BL37,IF(A38&lt;'Données projet'!$A$88,$BA$205^A38,IF(A38='Données projet'!$A$88,'Données projet'!$B$88,BD37+BC38-BL37)))</f>
        <v>153</v>
      </c>
      <c r="BE38" s="14">
        <f>BD38*VLOOKUP('Données projet'!$B$11,Paramètres!$A$1:$I$89,3,0)*VLOOKUP('Données projet'!$B$11,Paramètres!$A$1:$I$89,5,0)</f>
        <v>100.2456</v>
      </c>
      <c r="BF38" s="14">
        <f t="shared" si="37"/>
        <v>27.020500005754936</v>
      </c>
      <c r="BG38" s="22">
        <f t="shared" si="7"/>
        <v>221.65512417668984</v>
      </c>
      <c r="BH38" s="62">
        <f t="shared" si="8"/>
        <v>514.98845751002318</v>
      </c>
      <c r="BI38" s="62">
        <f ca="1">AVERAGE(OFFSET($BH$3,0,0,'Données projet'!$E$11+1,1))-AVERAGE(OFFSET($H$3,0,0,'Données projet'!$E$11+1,1))</f>
        <v>154.44480170404967</v>
      </c>
      <c r="BJ38" s="62">
        <f t="shared" si="38"/>
        <v>186.45728006007272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153</v>
      </c>
      <c r="BW38" s="13">
        <f>VLOOKUP(A38,'Données projet'!$A$113:$I$133,9,0)</f>
        <v>7.2</v>
      </c>
      <c r="BX38" s="13">
        <f t="array" ref="BX38">INDEX(BW:BW,MIN(IF(ISNUMBER(BW38:BW234),ROW(BW38:BW234),"")))</f>
        <v>7.2</v>
      </c>
      <c r="BY38" s="13">
        <f>IF('Données projet'!$A$114&gt;35,BY37+BX38-CG37,IF(A38&lt;'Données projet'!$A$114,$BV$205^A38,IF(A38='Données projet'!$A$114,'Données projet'!$B$114,BY37+BX38-CG37)))</f>
        <v>153</v>
      </c>
      <c r="BZ38" s="14">
        <f>BY38*VLOOKUP('Données projet'!$B$12,Paramètres!$A$1:$I$89,3,0)*VLOOKUP('Données projet'!$B$12,Paramètres!$A$1:$I$89,5,0)</f>
        <v>100.2456</v>
      </c>
      <c r="CA38" s="14">
        <f t="shared" si="39"/>
        <v>27.020500005754936</v>
      </c>
      <c r="CB38" s="22">
        <f t="shared" si="10"/>
        <v>221.65512417668984</v>
      </c>
      <c r="CC38" s="62">
        <f t="shared" si="11"/>
        <v>514.98845751002318</v>
      </c>
      <c r="CD38" s="62">
        <f ca="1">AVERAGE(OFFSET($CC$3,0,0,'Données projet'!$E$12+1,1))-AVERAGE(OFFSET($H$3,0,0,'Données projet'!$E$12+1,1))</f>
        <v>154.44480170404967</v>
      </c>
      <c r="CE38" s="62">
        <f t="shared" si="40"/>
        <v>186.45728006007272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9">
        <f t="shared" si="1"/>
        <v>338.72201550546265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12.8</v>
      </c>
      <c r="N39" s="14">
        <f>IF('Données projet'!$A$36&gt;35,N38+M39-V38,IF(A39&lt;'Données projet'!$A$36,$K$205^A39,IF(A39='Données projet'!$A$36,'Données projet'!$B$36,N38+M39-V38)))</f>
        <v>155.80000000000007</v>
      </c>
      <c r="O39" s="14">
        <f>N39*VLOOKUP('Données projet'!$B$9,Paramètres!$A$1:$I$89,3,0)*VLOOKUP('Données projet'!$B$9,Paramètres!$A$1:$I$89,5,0)</f>
        <v>89.117600000000053</v>
      </c>
      <c r="P39" s="14">
        <f t="shared" si="33"/>
        <v>24.352289481248235</v>
      </c>
      <c r="Q39" s="22">
        <f t="shared" si="53"/>
        <v>197.62672417984075</v>
      </c>
      <c r="R39" s="62">
        <f t="shared" si="0"/>
        <v>490.96005751317409</v>
      </c>
      <c r="S39" s="62">
        <f ca="1">AVERAGE(OFFSET($R$3,0,0,'Données projet'!$E$9+1,1))-AVERAGE(OFFSET($H$3,0,0,'Données projet'!$E$9+1,1))</f>
        <v>178.42783874015521</v>
      </c>
      <c r="T39" s="62">
        <f t="shared" si="34"/>
        <v>140.03904900962556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1.5042554483177184</v>
      </c>
      <c r="AB39" s="23">
        <f>EXP(-LN(2)/2)*AB38+(1-EXP(-LN(2)/2))/(LN(2)/2)*V39*Y39*VLOOKUP('Données projet'!$B$9,Paramètres!$A$1:$I$89,3,0)*0.475*44/12</f>
        <v>8.5865329778019514E-2</v>
      </c>
      <c r="AC39" s="24">
        <f t="shared" si="3"/>
        <v>1.5901207780957378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12.4</v>
      </c>
      <c r="AI39" s="14">
        <f>IF('Données projet'!$A$62&gt;35,AI38+AH39-AQ38,IF(A39&lt;'Données projet'!$A$62,$AF$205^A39,IF(A39='Données projet'!$A$62,'Données projet'!$B$62,AI38+AH39-AQ38)))</f>
        <v>158.4</v>
      </c>
      <c r="AJ39" s="14">
        <f>AI39*VLOOKUP('Données projet'!$B$10,Paramètres!$A$1:$I$89,3,0)*VLOOKUP('Données projet'!$B$10,Paramètres!$A$1:$I$89,5,0)</f>
        <v>94.723200000000006</v>
      </c>
      <c r="AK39" s="14">
        <f t="shared" si="35"/>
        <v>25.700933959119112</v>
      </c>
      <c r="AL39" s="22">
        <f t="shared" si="4"/>
        <v>209.7386999787991</v>
      </c>
      <c r="AM39" s="62">
        <f t="shared" si="5"/>
        <v>503.07203331213242</v>
      </c>
      <c r="AN39" s="62">
        <f ca="1">AVERAGE(OFFSET($AM$3,0,0,'Données projet'!$E$10+1,1))-AVERAGE(OFFSET($H$3,0,0,'Données projet'!$E$10+1,1))</f>
        <v>216.16876563248064</v>
      </c>
      <c r="AO39" s="62">
        <f t="shared" si="36"/>
        <v>137.55906339137317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1.9570181512666258</v>
      </c>
      <c r="AW39" s="23">
        <f>EXP(-LN(2)/2)*AW38+(1-EXP(-LN(2)/2))/(LN(2)/2)*AQ39*AT39*VLOOKUP('Données projet'!$B$10,Paramètres!$A$1:$I$89,3,0)*0.475*44/12</f>
        <v>0.55012336756067171</v>
      </c>
      <c r="AX39" s="23">
        <f t="shared" si="6"/>
        <v>2.5071415188272974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</v>
      </c>
      <c r="BD39" s="13">
        <f>IF('Données projet'!$A$88&gt;35,BD38+BC39-BL38,IF(A39&lt;'Données projet'!$A$88,$BA$205^A39,IF(A39='Données projet'!$A$88,'Données projet'!$B$88,BD38+BC39-BL38)))</f>
        <v>160</v>
      </c>
      <c r="BE39" s="14">
        <f>BD39*VLOOKUP('Données projet'!$B$11,Paramètres!$A$1:$I$89,3,0)*VLOOKUP('Données projet'!$B$11,Paramètres!$A$1:$I$89,5,0)</f>
        <v>104.83200000000001</v>
      </c>
      <c r="BF39" s="14">
        <f t="shared" si="37"/>
        <v>28.109974371137717</v>
      </c>
      <c r="BG39" s="22">
        <f t="shared" si="7"/>
        <v>231.54060536306486</v>
      </c>
      <c r="BH39" s="62">
        <f t="shared" si="8"/>
        <v>524.87393869639823</v>
      </c>
      <c r="BI39" s="62">
        <f ca="1">AVERAGE(OFFSET($BH$3,0,0,'Données projet'!$E$11+1,1))-AVERAGE(OFFSET($H$3,0,0,'Données projet'!$E$11+1,1))</f>
        <v>154.44480170404967</v>
      </c>
      <c r="BJ39" s="62">
        <f t="shared" si="38"/>
        <v>186.45728006007272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</v>
      </c>
      <c r="BY39" s="13">
        <f>IF('Données projet'!$A$114&gt;35,BY38+BX39-CG38,IF(A39&lt;'Données projet'!$A$114,$BV$205^A39,IF(A39='Données projet'!$A$114,'Données projet'!$B$114,BY38+BX39-CG38)))</f>
        <v>160</v>
      </c>
      <c r="BZ39" s="14">
        <f>BY39*VLOOKUP('Données projet'!$B$12,Paramètres!$A$1:$I$89,3,0)*VLOOKUP('Données projet'!$B$12,Paramètres!$A$1:$I$89,5,0)</f>
        <v>104.83200000000001</v>
      </c>
      <c r="CA39" s="14">
        <f t="shared" si="39"/>
        <v>28.109974371137717</v>
      </c>
      <c r="CB39" s="22">
        <f t="shared" si="10"/>
        <v>231.54060536306486</v>
      </c>
      <c r="CC39" s="62">
        <f t="shared" si="11"/>
        <v>524.87393869639823</v>
      </c>
      <c r="CD39" s="62">
        <f ca="1">AVERAGE(OFFSET($CC$3,0,0,'Données projet'!$E$12+1,1))-AVERAGE(OFFSET($H$3,0,0,'Données projet'!$E$12+1,1))</f>
        <v>154.44480170404967</v>
      </c>
      <c r="CE39" s="62">
        <f t="shared" si="40"/>
        <v>186.45728006007272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9">
        <f t="shared" si="1"/>
        <v>339.94630797071892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12.8</v>
      </c>
      <c r="N40" s="14">
        <f>IF('Données projet'!$A$36&gt;35,N39+M40-V39,IF(A40&lt;'Données projet'!$A$36,$K$205^A40,IF(A40='Données projet'!$A$36,'Données projet'!$B$36,N39+M40-V39)))</f>
        <v>168.60000000000008</v>
      </c>
      <c r="O40" s="14">
        <f>N40*VLOOKUP('Données projet'!$B$9,Paramètres!$A$1:$I$89,3,0)*VLOOKUP('Données projet'!$B$9,Paramètres!$A$1:$I$89,5,0)</f>
        <v>96.439200000000056</v>
      </c>
      <c r="P40" s="14">
        <f t="shared" si="33"/>
        <v>26.111904277671179</v>
      </c>
      <c r="Q40" s="22">
        <f t="shared" si="53"/>
        <v>213.44317328361072</v>
      </c>
      <c r="R40" s="62">
        <f t="shared" si="0"/>
        <v>506.77650661694406</v>
      </c>
      <c r="S40" s="62">
        <f ca="1">AVERAGE(OFFSET($R$3,0,0,'Données projet'!$E$9+1,1))-AVERAGE(OFFSET($H$3,0,0,'Données projet'!$E$9+1,1))</f>
        <v>178.42783874015521</v>
      </c>
      <c r="T40" s="62">
        <f t="shared" si="34"/>
        <v>140.03904900962556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1.4631215039781145</v>
      </c>
      <c r="AB40" s="23">
        <f>EXP(-LN(2)/2)*AB39+(1-EXP(-LN(2)/2))/(LN(2)/2)*V40*Y40*VLOOKUP('Données projet'!$B$9,Paramètres!$A$1:$I$89,3,0)*0.475*44/12</f>
        <v>6.0715956954856792E-2</v>
      </c>
      <c r="AC40" s="24">
        <f t="shared" si="3"/>
        <v>1.5238374609329712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12.4</v>
      </c>
      <c r="AI40" s="14">
        <f>IF('Données projet'!$A$62&gt;35,AI39+AH40-AQ39,IF(A40&lt;'Données projet'!$A$62,$AF$205^A40,IF(A40='Données projet'!$A$62,'Données projet'!$B$62,AI39+AH40-AQ39)))</f>
        <v>170.8</v>
      </c>
      <c r="AJ40" s="14">
        <f>AI40*VLOOKUP('Données projet'!$B$10,Paramètres!$A$1:$I$89,3,0)*VLOOKUP('Données projet'!$B$10,Paramètres!$A$1:$I$89,5,0)</f>
        <v>102.13840000000002</v>
      </c>
      <c r="AK40" s="14">
        <f t="shared" si="35"/>
        <v>27.470812821300004</v>
      </c>
      <c r="AL40" s="22">
        <f t="shared" si="4"/>
        <v>225.7360456637642</v>
      </c>
      <c r="AM40" s="62">
        <f t="shared" si="5"/>
        <v>519.06937899709749</v>
      </c>
      <c r="AN40" s="62">
        <f ca="1">AVERAGE(OFFSET($AM$3,0,0,'Données projet'!$E$10+1,1))-AVERAGE(OFFSET($H$3,0,0,'Données projet'!$E$10+1,1))</f>
        <v>216.16876563248064</v>
      </c>
      <c r="AO40" s="62">
        <f t="shared" si="36"/>
        <v>137.55906339137317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1.9035033870051281</v>
      </c>
      <c r="AW40" s="23">
        <f>EXP(-LN(2)/2)*AW39+(1-EXP(-LN(2)/2))/(LN(2)/2)*AQ40*AT40*VLOOKUP('Données projet'!$B$10,Paramètres!$A$1:$I$89,3,0)*0.475*44/12</f>
        <v>0.38899596369133055</v>
      </c>
      <c r="AX40" s="23">
        <f t="shared" si="6"/>
        <v>2.2924993506964588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167</v>
      </c>
      <c r="BE40" s="14">
        <f>BD40*VLOOKUP('Données projet'!$B$11,Paramètres!$A$1:$I$89,3,0)*VLOOKUP('Données projet'!$B$11,Paramètres!$A$1:$I$89,5,0)</f>
        <v>109.41840000000001</v>
      </c>
      <c r="BF40" s="14">
        <f t="shared" si="37"/>
        <v>29.193912826430967</v>
      </c>
      <c r="BG40" s="22">
        <f t="shared" si="7"/>
        <v>241.41644483936727</v>
      </c>
      <c r="BH40" s="62">
        <f t="shared" si="8"/>
        <v>534.74977817270064</v>
      </c>
      <c r="BI40" s="62">
        <f ca="1">AVERAGE(OFFSET($BH$3,0,0,'Données projet'!$E$11+1,1))-AVERAGE(OFFSET($H$3,0,0,'Données projet'!$E$11+1,1))</f>
        <v>154.44480170404967</v>
      </c>
      <c r="BJ40" s="62">
        <f t="shared" si="38"/>
        <v>186.45728006007272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</v>
      </c>
      <c r="BY40" s="13">
        <f>IF('Données projet'!$A$114&gt;35,BY39+BX40-CG39,IF(A40&lt;'Données projet'!$A$114,$BV$205^A40,IF(A40='Données projet'!$A$114,'Données projet'!$B$114,BY39+BX40-CG39)))</f>
        <v>167</v>
      </c>
      <c r="BZ40" s="14">
        <f>BY40*VLOOKUP('Données projet'!$B$12,Paramètres!$A$1:$I$89,3,0)*VLOOKUP('Données projet'!$B$12,Paramètres!$A$1:$I$89,5,0)</f>
        <v>109.41840000000001</v>
      </c>
      <c r="CA40" s="14">
        <f t="shared" si="39"/>
        <v>29.193912826430967</v>
      </c>
      <c r="CB40" s="22">
        <f t="shared" si="10"/>
        <v>241.41644483936727</v>
      </c>
      <c r="CC40" s="62">
        <f t="shared" si="11"/>
        <v>534.74977817270064</v>
      </c>
      <c r="CD40" s="62">
        <f ca="1">AVERAGE(OFFSET($CC$3,0,0,'Données projet'!$E$12+1,1))-AVERAGE(OFFSET($H$3,0,0,'Données projet'!$E$12+1,1))</f>
        <v>154.44480170404967</v>
      </c>
      <c r="CE40" s="62">
        <f t="shared" si="40"/>
        <v>186.45728006007272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9">
        <f t="shared" si="1"/>
        <v>341.16974175610096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12.8</v>
      </c>
      <c r="N41" s="14">
        <f>IF('Données projet'!$A$36&gt;35,N40+M41-V40,IF(A41&lt;'Données projet'!$A$36,$K$205^A41,IF(A41='Données projet'!$A$36,'Données projet'!$B$36,N40+M41-V40)))</f>
        <v>181.40000000000009</v>
      </c>
      <c r="O41" s="14">
        <f>N41*VLOOKUP('Données projet'!$B$9,Paramètres!$A$1:$I$89,3,0)*VLOOKUP('Données projet'!$B$9,Paramètres!$A$1:$I$89,5,0)</f>
        <v>103.76080000000006</v>
      </c>
      <c r="P41" s="14">
        <f t="shared" si="33"/>
        <v>27.856022138389424</v>
      </c>
      <c r="Q41" s="22">
        <f t="shared" si="53"/>
        <v>229.23263189102838</v>
      </c>
      <c r="R41" s="62">
        <f t="shared" si="0"/>
        <v>522.56596522436166</v>
      </c>
      <c r="S41" s="62">
        <f ca="1">AVERAGE(OFFSET($R$3,0,0,'Données projet'!$E$9+1,1))-AVERAGE(OFFSET($H$3,0,0,'Données projet'!$E$9+1,1))</f>
        <v>178.42783874015521</v>
      </c>
      <c r="T41" s="62">
        <f t="shared" si="34"/>
        <v>140.03904900962556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1.4231123695096171</v>
      </c>
      <c r="AB41" s="23">
        <f>EXP(-LN(2)/2)*AB40+(1-EXP(-LN(2)/2))/(LN(2)/2)*V41*Y41*VLOOKUP('Données projet'!$B$9,Paramètres!$A$1:$I$89,3,0)*0.475*44/12</f>
        <v>4.2932664889009764E-2</v>
      </c>
      <c r="AC41" s="24">
        <f t="shared" si="3"/>
        <v>1.4660450343986269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12.4</v>
      </c>
      <c r="AI41" s="14">
        <f>IF('Données projet'!$A$62&gt;35,AI40+AH41-AQ40,IF(A41&lt;'Données projet'!$A$62,$AF$205^A41,IF(A41='Données projet'!$A$62,'Données projet'!$B$62,AI40+AH41-AQ40)))</f>
        <v>183.20000000000002</v>
      </c>
      <c r="AJ41" s="14">
        <f>AI41*VLOOKUP('Données projet'!$B$10,Paramètres!$A$1:$I$89,3,0)*VLOOKUP('Données projet'!$B$10,Paramètres!$A$1:$I$89,5,0)</f>
        <v>109.55360000000002</v>
      </c>
      <c r="AK41" s="14">
        <f t="shared" si="35"/>
        <v>29.225784372214765</v>
      </c>
      <c r="AL41" s="22">
        <f t="shared" si="4"/>
        <v>241.70742778160744</v>
      </c>
      <c r="AM41" s="62">
        <f t="shared" si="5"/>
        <v>535.04076111494078</v>
      </c>
      <c r="AN41" s="62">
        <f ca="1">AVERAGE(OFFSET($AM$3,0,0,'Données projet'!$E$10+1,1))-AVERAGE(OFFSET($H$3,0,0,'Données projet'!$E$10+1,1))</f>
        <v>216.16876563248064</v>
      </c>
      <c r="AO41" s="62">
        <f t="shared" si="36"/>
        <v>137.55906339137317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1.8514519867865802</v>
      </c>
      <c r="AW41" s="23">
        <f>EXP(-LN(2)/2)*AW40+(1-EXP(-LN(2)/2))/(LN(2)/2)*AQ41*AT41*VLOOKUP('Données projet'!$B$10,Paramètres!$A$1:$I$89,3,0)*0.475*44/12</f>
        <v>0.27506168378033585</v>
      </c>
      <c r="AX41" s="23">
        <f t="shared" si="6"/>
        <v>2.1265136705669159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174</v>
      </c>
      <c r="BE41" s="14">
        <f>BD41*VLOOKUP('Données projet'!$B$11,Paramètres!$A$1:$I$89,3,0)*VLOOKUP('Données projet'!$B$11,Paramètres!$A$1:$I$89,5,0)</f>
        <v>114.0048</v>
      </c>
      <c r="BF41" s="14">
        <f t="shared" si="37"/>
        <v>30.272573949217303</v>
      </c>
      <c r="BG41" s="22">
        <f t="shared" si="7"/>
        <v>251.28309296155342</v>
      </c>
      <c r="BH41" s="62">
        <f t="shared" si="8"/>
        <v>544.61642629488676</v>
      </c>
      <c r="BI41" s="62">
        <f ca="1">AVERAGE(OFFSET($BH$3,0,0,'Données projet'!$E$11+1,1))-AVERAGE(OFFSET($H$3,0,0,'Données projet'!$E$11+1,1))</f>
        <v>154.44480170404967</v>
      </c>
      <c r="BJ41" s="62">
        <f t="shared" si="38"/>
        <v>186.45728006007272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</v>
      </c>
      <c r="BY41" s="13">
        <f>IF('Données projet'!$A$114&gt;35,BY40+BX41-CG40,IF(A41&lt;'Données projet'!$A$114,$BV$205^A41,IF(A41='Données projet'!$A$114,'Données projet'!$B$114,BY40+BX41-CG40)))</f>
        <v>174</v>
      </c>
      <c r="BZ41" s="14">
        <f>BY41*VLOOKUP('Données projet'!$B$12,Paramètres!$A$1:$I$89,3,0)*VLOOKUP('Données projet'!$B$12,Paramètres!$A$1:$I$89,5,0)</f>
        <v>114.0048</v>
      </c>
      <c r="CA41" s="14">
        <f t="shared" si="39"/>
        <v>30.272573949217303</v>
      </c>
      <c r="CB41" s="22">
        <f t="shared" si="10"/>
        <v>251.28309296155342</v>
      </c>
      <c r="CC41" s="62">
        <f t="shared" si="11"/>
        <v>544.61642629488676</v>
      </c>
      <c r="CD41" s="62">
        <f ca="1">AVERAGE(OFFSET($CC$3,0,0,'Données projet'!$E$12+1,1))-AVERAGE(OFFSET($H$3,0,0,'Données projet'!$E$12+1,1))</f>
        <v>154.44480170404967</v>
      </c>
      <c r="CE41" s="62">
        <f t="shared" si="40"/>
        <v>186.45728006007272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9">
        <f t="shared" si="1"/>
        <v>342.3923420560082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12.8</v>
      </c>
      <c r="N42" s="14">
        <f>IF('Données projet'!$A$36&gt;35,N41+M42-V41,IF(A42&lt;'Données projet'!$A$36,$K$205^A42,IF(A42='Données projet'!$A$36,'Données projet'!$B$36,N41+M42-V41)))</f>
        <v>194.2000000000001</v>
      </c>
      <c r="O42" s="14">
        <f>N42*VLOOKUP('Données projet'!$B$9,Paramètres!$A$1:$I$89,3,0)*VLOOKUP('Données projet'!$B$9,Paramètres!$A$1:$I$89,5,0)</f>
        <v>111.08240000000006</v>
      </c>
      <c r="P42" s="14">
        <f t="shared" si="33"/>
        <v>29.585860939025359</v>
      </c>
      <c r="Q42" s="22">
        <f t="shared" si="53"/>
        <v>244.99722113546932</v>
      </c>
      <c r="R42" s="62">
        <f t="shared" si="0"/>
        <v>538.33055446880257</v>
      </c>
      <c r="S42" s="62">
        <f ca="1">AVERAGE(OFFSET($R$3,0,0,'Données projet'!$E$9+1,1))-AVERAGE(OFFSET($H$3,0,0,'Données projet'!$E$9+1,1))</f>
        <v>178.42783874015521</v>
      </c>
      <c r="T42" s="62">
        <f t="shared" si="34"/>
        <v>140.03904900962556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1.3841972869271497</v>
      </c>
      <c r="AB42" s="23">
        <f>EXP(-LN(2)/2)*AB41+(1-EXP(-LN(2)/2))/(LN(2)/2)*V42*Y42*VLOOKUP('Données projet'!$B$9,Paramètres!$A$1:$I$89,3,0)*0.475*44/12</f>
        <v>3.03579784774284E-2</v>
      </c>
      <c r="AC42" s="24">
        <f t="shared" si="3"/>
        <v>1.4145552654045781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12.4</v>
      </c>
      <c r="AI42" s="14">
        <f>IF('Données projet'!$A$62&gt;35,AI41+AH42-AQ41,IF(A42&lt;'Données projet'!$A$62,$AF$205^A42,IF(A42='Données projet'!$A$62,'Données projet'!$B$62,AI41+AH42-AQ41)))</f>
        <v>195.60000000000002</v>
      </c>
      <c r="AJ42" s="14">
        <f>AI42*VLOOKUP('Données projet'!$B$10,Paramètres!$A$1:$I$89,3,0)*VLOOKUP('Données projet'!$B$10,Paramètres!$A$1:$I$89,5,0)</f>
        <v>116.96880000000002</v>
      </c>
      <c r="AK42" s="14">
        <f t="shared" si="35"/>
        <v>30.966972418998537</v>
      </c>
      <c r="AL42" s="22">
        <f t="shared" si="4"/>
        <v>257.6548036297558</v>
      </c>
      <c r="AM42" s="62">
        <f t="shared" si="5"/>
        <v>550.98813696308912</v>
      </c>
      <c r="AN42" s="62">
        <f ca="1">AVERAGE(OFFSET($AM$3,0,0,'Données projet'!$E$10+1,1))-AVERAGE(OFFSET($H$3,0,0,'Données projet'!$E$10+1,1))</f>
        <v>216.16876563248064</v>
      </c>
      <c r="AO42" s="62">
        <f t="shared" si="36"/>
        <v>137.55906339137317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1.8008239348442727</v>
      </c>
      <c r="AW42" s="23">
        <f>EXP(-LN(2)/2)*AW41+(1-EXP(-LN(2)/2))/(LN(2)/2)*AQ42*AT42*VLOOKUP('Données projet'!$B$10,Paramètres!$A$1:$I$89,3,0)*0.475*44/12</f>
        <v>0.19449798184566527</v>
      </c>
      <c r="AX42" s="23">
        <f t="shared" si="6"/>
        <v>1.9953219166899381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181</v>
      </c>
      <c r="BE42" s="14">
        <f>BD42*VLOOKUP('Données projet'!$B$11,Paramètres!$A$1:$I$89,3,0)*VLOOKUP('Données projet'!$B$11,Paramètres!$A$1:$I$89,5,0)</f>
        <v>118.5912</v>
      </c>
      <c r="BF42" s="14">
        <f t="shared" si="37"/>
        <v>31.346194334434067</v>
      </c>
      <c r="BG42" s="22">
        <f t="shared" si="7"/>
        <v>261.14096179913935</v>
      </c>
      <c r="BH42" s="62">
        <f t="shared" si="8"/>
        <v>554.47429513247266</v>
      </c>
      <c r="BI42" s="62">
        <f ca="1">AVERAGE(OFFSET($BH$3,0,0,'Données projet'!$E$11+1,1))-AVERAGE(OFFSET($H$3,0,0,'Données projet'!$E$11+1,1))</f>
        <v>154.44480170404967</v>
      </c>
      <c r="BJ42" s="62">
        <f t="shared" si="38"/>
        <v>186.45728006007272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</v>
      </c>
      <c r="BY42" s="13">
        <f>IF('Données projet'!$A$114&gt;35,BY41+BX42-CG41,IF(A42&lt;'Données projet'!$A$114,$BV$205^A42,IF(A42='Données projet'!$A$114,'Données projet'!$B$114,BY41+BX42-CG41)))</f>
        <v>181</v>
      </c>
      <c r="BZ42" s="14">
        <f>BY42*VLOOKUP('Données projet'!$B$12,Paramètres!$A$1:$I$89,3,0)*VLOOKUP('Données projet'!$B$12,Paramètres!$A$1:$I$89,5,0)</f>
        <v>118.5912</v>
      </c>
      <c r="CA42" s="14">
        <f t="shared" si="39"/>
        <v>31.346194334434067</v>
      </c>
      <c r="CB42" s="22">
        <f t="shared" si="10"/>
        <v>261.14096179913935</v>
      </c>
      <c r="CC42" s="62">
        <f t="shared" si="11"/>
        <v>554.47429513247266</v>
      </c>
      <c r="CD42" s="62">
        <f ca="1">AVERAGE(OFFSET($CC$3,0,0,'Données projet'!$E$12+1,1))-AVERAGE(OFFSET($H$3,0,0,'Données projet'!$E$12+1,1))</f>
        <v>154.44480170404967</v>
      </c>
      <c r="CE42" s="62">
        <f t="shared" si="40"/>
        <v>186.45728006007272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9">
        <f t="shared" si="1"/>
        <v>343.61413269921093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207</v>
      </c>
      <c r="L43" s="13">
        <f>VLOOKUP(A43,'Données projet'!$A$35:$I$55,9,0)</f>
        <v>12.8</v>
      </c>
      <c r="M43" s="13">
        <f t="array" ref="M43">INDEX(L:L,MIN(IF(ISNUMBER(L43:L239),ROW(L43:L239),"")))</f>
        <v>12.8</v>
      </c>
      <c r="N43" s="14">
        <f>IF('Données projet'!$A$36&gt;35,N42+M43-V42,IF(A43&lt;'Données projet'!$A$36,$K$205^A43,IF(A43='Données projet'!$A$36,'Données projet'!$B$36,N42+M43-V42)))</f>
        <v>207.00000000000011</v>
      </c>
      <c r="O43" s="14">
        <f>N43*VLOOKUP('Données projet'!$B$9,Paramètres!$A$1:$I$89,3,0)*VLOOKUP('Données projet'!$B$9,Paramètres!$A$1:$I$89,5,0)</f>
        <v>118.40400000000008</v>
      </c>
      <c r="P43" s="14">
        <f t="shared" si="33"/>
        <v>31.302468930496421</v>
      </c>
      <c r="Q43" s="22">
        <f t="shared" si="53"/>
        <v>260.73876672061471</v>
      </c>
      <c r="R43" s="62">
        <f t="shared" si="0"/>
        <v>554.07210005394802</v>
      </c>
      <c r="S43" s="62">
        <f ca="1">AVERAGE(OFFSET($R$3,0,0,'Données projet'!$E$9+1,1))-AVERAGE(OFFSET($H$3,0,0,'Données projet'!$E$9+1,1))</f>
        <v>178.42783874015521</v>
      </c>
      <c r="T43" s="62">
        <f t="shared" si="34"/>
        <v>140.03904900962556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37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1.3463463393243551</v>
      </c>
      <c r="AB43" s="23">
        <f>EXP(-LN(2)/2)*AB42+(1-EXP(-LN(2)/2))/(LN(2)/2)*V43*Y43*VLOOKUP('Données projet'!$B$9,Paramètres!$A$1:$I$89,3,0)*0.475*44/12</f>
        <v>2.1466332444504885E-2</v>
      </c>
      <c r="AC43" s="24">
        <f t="shared" si="3"/>
        <v>1.3678126717688599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208</v>
      </c>
      <c r="AG43" s="13">
        <f>VLOOKUP(A43,'Données projet'!$A$61:$I$81,9,0)</f>
        <v>12.4</v>
      </c>
      <c r="AH43" s="13">
        <f t="array" ref="AH43">INDEX(AG:AG,MIN(IF(ISNUMBER(AG43:AG239),ROW(AG43:AG239),"")))</f>
        <v>12.4</v>
      </c>
      <c r="AI43" s="14">
        <f>IF('Données projet'!$A$62&gt;35,AI42+AH43-AQ42,IF(A43&lt;'Données projet'!$A$62,$AF$205^A43,IF(A43='Données projet'!$A$62,'Données projet'!$B$62,AI42+AH43-AQ42)))</f>
        <v>208.00000000000003</v>
      </c>
      <c r="AJ43" s="14">
        <f>AI43*VLOOKUP('Données projet'!$B$10,Paramètres!$A$1:$I$89,3,0)*VLOOKUP('Données projet'!$B$10,Paramètres!$A$1:$I$89,5,0)</f>
        <v>124.38400000000003</v>
      </c>
      <c r="AK43" s="14">
        <f t="shared" si="35"/>
        <v>32.695350227217695</v>
      </c>
      <c r="AL43" s="22">
        <f t="shared" si="4"/>
        <v>273.57986831240419</v>
      </c>
      <c r="AM43" s="62">
        <f t="shared" si="5"/>
        <v>566.91320164573744</v>
      </c>
      <c r="AN43" s="62">
        <f ca="1">AVERAGE(OFFSET($AM$3,0,0,'Données projet'!$E$10+1,1))-AVERAGE(OFFSET($H$3,0,0,'Données projet'!$E$10+1,1))</f>
        <v>216.16876563248064</v>
      </c>
      <c r="AO43" s="62">
        <f t="shared" si="36"/>
        <v>137.55906339137317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34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1.7515803096447411</v>
      </c>
      <c r="AW43" s="23">
        <f>EXP(-LN(2)/2)*AW42+(1-EXP(-LN(2)/2))/(LN(2)/2)*AQ43*AT43*VLOOKUP('Données projet'!$B$10,Paramètres!$A$1:$I$89,3,0)*0.475*44/12</f>
        <v>0.13753084189016793</v>
      </c>
      <c r="AX43" s="23">
        <f t="shared" si="6"/>
        <v>1.889111151534909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188</v>
      </c>
      <c r="BB43" s="13">
        <f>VLOOKUP(A43,'Données projet'!$A$87:$I$107,9,0)</f>
        <v>7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188</v>
      </c>
      <c r="BE43" s="14">
        <f>BD43*VLOOKUP('Données projet'!$B$11,Paramètres!$A$1:$I$89,3,0)*VLOOKUP('Données projet'!$B$11,Paramètres!$A$1:$I$89,5,0)</f>
        <v>123.1776</v>
      </c>
      <c r="BF43" s="14">
        <f t="shared" si="37"/>
        <v>32.414991240570416</v>
      </c>
      <c r="BG43" s="22">
        <f t="shared" si="7"/>
        <v>270.99042974399345</v>
      </c>
      <c r="BH43" s="62">
        <f t="shared" si="8"/>
        <v>564.3237630773267</v>
      </c>
      <c r="BI43" s="62">
        <f ca="1">AVERAGE(OFFSET($BH$3,0,0,'Données projet'!$E$11+1,1))-AVERAGE(OFFSET($H$3,0,0,'Données projet'!$E$11+1,1))</f>
        <v>154.44480170404967</v>
      </c>
      <c r="BJ43" s="62">
        <f t="shared" si="38"/>
        <v>186.45728006007272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43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188</v>
      </c>
      <c r="BW43" s="13">
        <f>VLOOKUP(A43,'Données projet'!$A$113:$I$133,9,0)</f>
        <v>7</v>
      </c>
      <c r="BX43" s="13">
        <f t="array" ref="BX43">INDEX(BW:BW,MIN(IF(ISNUMBER(BW43:BW239),ROW(BW43:BW239),"")))</f>
        <v>7</v>
      </c>
      <c r="BY43" s="13">
        <f>IF('Données projet'!$A$114&gt;35,BY42+BX43-CG42,IF(A43&lt;'Données projet'!$A$114,$BV$205^A43,IF(A43='Données projet'!$A$114,'Données projet'!$B$114,BY42+BX43-CG42)))</f>
        <v>188</v>
      </c>
      <c r="BZ43" s="14">
        <f>BY43*VLOOKUP('Données projet'!$B$12,Paramètres!$A$1:$I$89,3,0)*VLOOKUP('Données projet'!$B$12,Paramètres!$A$1:$I$89,5,0)</f>
        <v>123.1776</v>
      </c>
      <c r="CA43" s="14">
        <f t="shared" si="39"/>
        <v>32.414991240570416</v>
      </c>
      <c r="CB43" s="22">
        <f t="shared" si="10"/>
        <v>270.99042974399345</v>
      </c>
      <c r="CC43" s="62">
        <f t="shared" si="11"/>
        <v>564.3237630773267</v>
      </c>
      <c r="CD43" s="62">
        <f ca="1">AVERAGE(OFFSET($CC$3,0,0,'Données projet'!$E$12+1,1))-AVERAGE(OFFSET($H$3,0,0,'Données projet'!$E$12+1,1))</f>
        <v>154.44480170404967</v>
      </c>
      <c r="CE43" s="62">
        <f t="shared" si="40"/>
        <v>186.45728006007272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43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9">
        <f t="shared" si="1"/>
        <v>344.83513625513632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11.6</v>
      </c>
      <c r="N44" s="14">
        <f>IF('Données projet'!$A$36&gt;35,N43+M44-V43,IF(A44&lt;'Données projet'!$A$36,$K$205^A44,IF(A44='Données projet'!$A$36,'Données projet'!$B$36,N43+M44-V43)))</f>
        <v>181.60000000000011</v>
      </c>
      <c r="O44" s="14">
        <f>N44*VLOOKUP('Données projet'!$B$9,Paramètres!$A$1:$I$89,3,0)*VLOOKUP('Données projet'!$B$9,Paramètres!$A$1:$I$89,5,0)</f>
        <v>103.87520000000008</v>
      </c>
      <c r="P44" s="14">
        <f t="shared" si="33"/>
        <v>27.88315775295947</v>
      </c>
      <c r="Q44" s="22">
        <f t="shared" si="53"/>
        <v>229.47913975307119</v>
      </c>
      <c r="R44" s="62">
        <f t="shared" si="0"/>
        <v>522.81247308640445</v>
      </c>
      <c r="S44" s="62">
        <f ca="1">AVERAGE(OFFSET($R$3,0,0,'Données projet'!$E$9+1,1))-AVERAGE(OFFSET($H$3,0,0,'Données projet'!$E$9+1,1))</f>
        <v>178.42783874015521</v>
      </c>
      <c r="T44" s="62">
        <f t="shared" si="34"/>
        <v>140.03904900962556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1.3095304278742537</v>
      </c>
      <c r="AB44" s="23">
        <f>EXP(-LN(2)/2)*AB43+(1-EXP(-LN(2)/2))/(LN(2)/2)*V44*Y44*VLOOKUP('Données projet'!$B$9,Paramètres!$A$1:$I$89,3,0)*0.475*44/12</f>
        <v>1.5178989238714203E-2</v>
      </c>
      <c r="AC44" s="24">
        <f t="shared" si="3"/>
        <v>1.3247094171129679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14.1</v>
      </c>
      <c r="AI44" s="14">
        <f>IF('Données projet'!$A$62&gt;35,AI43+AH44-AQ43,IF(A44&lt;'Données projet'!$A$62,$AF$205^A44,IF(A44='Données projet'!$A$62,'Données projet'!$B$62,AI43+AH44-AQ43)))</f>
        <v>188.10000000000002</v>
      </c>
      <c r="AJ44" s="14">
        <f>AI44*VLOOKUP('Données projet'!$B$10,Paramètres!$A$1:$I$89,3,0)*VLOOKUP('Données projet'!$B$10,Paramètres!$A$1:$I$89,5,0)</f>
        <v>112.48380000000002</v>
      </c>
      <c r="AK44" s="14">
        <f t="shared" si="35"/>
        <v>29.915424563902814</v>
      </c>
      <c r="AL44" s="22">
        <f t="shared" si="4"/>
        <v>248.01198278213079</v>
      </c>
      <c r="AM44" s="62">
        <f t="shared" si="5"/>
        <v>541.34531611546413</v>
      </c>
      <c r="AN44" s="62">
        <f ca="1">AVERAGE(OFFSET($AM$3,0,0,'Données projet'!$E$10+1,1))-AVERAGE(OFFSET($H$3,0,0,'Données projet'!$E$10+1,1))</f>
        <v>216.16876563248064</v>
      </c>
      <c r="AO44" s="62">
        <f t="shared" si="36"/>
        <v>137.55906339137317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1.7036832539659004</v>
      </c>
      <c r="AW44" s="23">
        <f>EXP(-LN(2)/2)*AW43+(1-EXP(-LN(2)/2))/(LN(2)/2)*AQ44*AT44*VLOOKUP('Données projet'!$B$10,Paramètres!$A$1:$I$89,3,0)*0.475*44/12</f>
        <v>9.7248990922832637E-2</v>
      </c>
      <c r="AX44" s="23">
        <f t="shared" si="6"/>
        <v>1.800932244888733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6.4</v>
      </c>
      <c r="BD44" s="13">
        <f>IF('Données projet'!$A$88&gt;35,BD43+BC44-BL43,IF(A44&lt;'Données projet'!$A$88,$BA$205^A44,IF(A44='Données projet'!$A$88,'Données projet'!$B$88,BD43+BC44-BL43)))</f>
        <v>151.4</v>
      </c>
      <c r="BE44" s="14">
        <f>BD44*VLOOKUP('Données projet'!$B$11,Paramètres!$A$1:$I$89,3,0)*VLOOKUP('Données projet'!$B$11,Paramètres!$A$1:$I$89,5,0)</f>
        <v>99.197280000000006</v>
      </c>
      <c r="BF44" s="14">
        <f t="shared" si="37"/>
        <v>26.770670966897111</v>
      </c>
      <c r="BG44" s="22">
        <f t="shared" si="7"/>
        <v>219.39418126734577</v>
      </c>
      <c r="BH44" s="62">
        <f t="shared" si="8"/>
        <v>512.72751460067911</v>
      </c>
      <c r="BI44" s="62">
        <f ca="1">AVERAGE(OFFSET($BH$3,0,0,'Données projet'!$E$11+1,1))-AVERAGE(OFFSET($H$3,0,0,'Données projet'!$E$11+1,1))</f>
        <v>154.44480170404967</v>
      </c>
      <c r="BJ44" s="62">
        <f t="shared" si="38"/>
        <v>186.45728006007272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6.4</v>
      </c>
      <c r="BY44" s="13">
        <f>IF('Données projet'!$A$114&gt;35,BY43+BX44-CG43,IF(A44&lt;'Données projet'!$A$114,$BV$205^A44,IF(A44='Données projet'!$A$114,'Données projet'!$B$114,BY43+BX44-CG43)))</f>
        <v>151.4</v>
      </c>
      <c r="BZ44" s="14">
        <f>BY44*VLOOKUP('Données projet'!$B$12,Paramètres!$A$1:$I$89,3,0)*VLOOKUP('Données projet'!$B$12,Paramètres!$A$1:$I$89,5,0)</f>
        <v>99.197280000000006</v>
      </c>
      <c r="CA44" s="14">
        <f t="shared" si="39"/>
        <v>26.770670966897111</v>
      </c>
      <c r="CB44" s="22">
        <f t="shared" si="10"/>
        <v>219.39418126734577</v>
      </c>
      <c r="CC44" s="62">
        <f t="shared" si="11"/>
        <v>512.72751460067911</v>
      </c>
      <c r="CD44" s="62">
        <f ca="1">AVERAGE(OFFSET($CC$3,0,0,'Données projet'!$E$12+1,1))-AVERAGE(OFFSET($H$3,0,0,'Données projet'!$E$12+1,1))</f>
        <v>154.44480170404967</v>
      </c>
      <c r="CE44" s="62">
        <f t="shared" si="40"/>
        <v>186.45728006007272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9">
        <f t="shared" si="1"/>
        <v>346.05537412949326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11.6</v>
      </c>
      <c r="N45" s="14">
        <f>IF('Données projet'!$A$36&gt;35,N44+M45-V44,IF(A45&lt;'Données projet'!$A$36,$K$205^A45,IF(A45='Données projet'!$A$36,'Données projet'!$B$36,N44+M45-V44)))</f>
        <v>193.2000000000001</v>
      </c>
      <c r="O45" s="14">
        <f>N45*VLOOKUP('Données projet'!$B$9,Paramètres!$A$1:$I$89,3,0)*VLOOKUP('Données projet'!$B$9,Paramètres!$A$1:$I$89,5,0)</f>
        <v>110.51040000000008</v>
      </c>
      <c r="P45" s="14">
        <f t="shared" si="33"/>
        <v>29.451206375056412</v>
      </c>
      <c r="Q45" s="22">
        <f t="shared" si="53"/>
        <v>243.76646443655667</v>
      </c>
      <c r="R45" s="62">
        <f t="shared" si="0"/>
        <v>537.09979776988996</v>
      </c>
      <c r="S45" s="62">
        <f ca="1">AVERAGE(OFFSET($R$3,0,0,'Données projet'!$E$9+1,1))-AVERAGE(OFFSET($H$3,0,0,'Données projet'!$E$9+1,1))</f>
        <v>178.42783874015521</v>
      </c>
      <c r="T45" s="62">
        <f t="shared" si="34"/>
        <v>140.03904900962556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1.2737212494588199</v>
      </c>
      <c r="AB45" s="23">
        <f>EXP(-LN(2)/2)*AB44+(1-EXP(-LN(2)/2))/(LN(2)/2)*V45*Y45*VLOOKUP('Données projet'!$B$9,Paramètres!$A$1:$I$89,3,0)*0.475*44/12</f>
        <v>1.0733166222252444E-2</v>
      </c>
      <c r="AC45" s="24">
        <f t="shared" si="3"/>
        <v>1.2844544156810724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14.1</v>
      </c>
      <c r="AI45" s="14">
        <f>IF('Données projet'!$A$62&gt;35,AI44+AH45-AQ44,IF(A45&lt;'Données projet'!$A$62,$AF$205^A45,IF(A45='Données projet'!$A$62,'Données projet'!$B$62,AI44+AH45-AQ44)))</f>
        <v>202.20000000000002</v>
      </c>
      <c r="AJ45" s="14">
        <f>AI45*VLOOKUP('Données projet'!$B$10,Paramètres!$A$1:$I$89,3,0)*VLOOKUP('Données projet'!$B$10,Paramètres!$A$1:$I$89,5,0)</f>
        <v>120.91560000000003</v>
      </c>
      <c r="AK45" s="14">
        <f t="shared" si="35"/>
        <v>31.888453396738488</v>
      </c>
      <c r="AL45" s="22">
        <f t="shared" si="4"/>
        <v>266.13372633265288</v>
      </c>
      <c r="AM45" s="62">
        <f t="shared" si="5"/>
        <v>559.4670596659862</v>
      </c>
      <c r="AN45" s="62">
        <f ca="1">AVERAGE(OFFSET($AM$3,0,0,'Données projet'!$E$10+1,1))-AVERAGE(OFFSET($H$3,0,0,'Données projet'!$E$10+1,1))</f>
        <v>216.16876563248064</v>
      </c>
      <c r="AO45" s="62">
        <f t="shared" si="36"/>
        <v>137.55906339137317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1.6570959457933943</v>
      </c>
      <c r="AW45" s="23">
        <f>EXP(-LN(2)/2)*AW44+(1-EXP(-LN(2)/2))/(LN(2)/2)*AQ45*AT45*VLOOKUP('Données projet'!$B$10,Paramètres!$A$1:$I$89,3,0)*0.475*44/12</f>
        <v>6.8765420945083963E-2</v>
      </c>
      <c r="AX45" s="23">
        <f t="shared" si="6"/>
        <v>1.7258613667384781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6.4</v>
      </c>
      <c r="BD45" s="13">
        <f>IF('Données projet'!$A$88&gt;35,BD44+BC45-BL44,IF(A45&lt;'Données projet'!$A$88,$BA$205^A45,IF(A45='Données projet'!$A$88,'Données projet'!$B$88,BD44+BC45-BL44)))</f>
        <v>157.80000000000001</v>
      </c>
      <c r="BE45" s="14">
        <f>BD45*VLOOKUP('Données projet'!$B$11,Paramètres!$A$1:$I$89,3,0)*VLOOKUP('Données projet'!$B$11,Paramètres!$A$1:$I$89,5,0)</f>
        <v>103.39055999999999</v>
      </c>
      <c r="BF45" s="14">
        <f t="shared" si="37"/>
        <v>27.768177525719913</v>
      </c>
      <c r="BG45" s="22">
        <f t="shared" si="7"/>
        <v>228.43480119062883</v>
      </c>
      <c r="BH45" s="62">
        <f t="shared" si="8"/>
        <v>521.76813452396209</v>
      </c>
      <c r="BI45" s="62">
        <f ca="1">AVERAGE(OFFSET($BH$3,0,0,'Données projet'!$E$11+1,1))-AVERAGE(OFFSET($H$3,0,0,'Données projet'!$E$11+1,1))</f>
        <v>154.44480170404967</v>
      </c>
      <c r="BJ45" s="62">
        <f t="shared" si="38"/>
        <v>186.45728006007272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6.4</v>
      </c>
      <c r="BY45" s="13">
        <f>IF('Données projet'!$A$114&gt;35,BY44+BX45-CG44,IF(A45&lt;'Données projet'!$A$114,$BV$205^A45,IF(A45='Données projet'!$A$114,'Données projet'!$B$114,BY44+BX45-CG44)))</f>
        <v>157.80000000000001</v>
      </c>
      <c r="BZ45" s="14">
        <f>BY45*VLOOKUP('Données projet'!$B$12,Paramètres!$A$1:$I$89,3,0)*VLOOKUP('Données projet'!$B$12,Paramètres!$A$1:$I$89,5,0)</f>
        <v>103.39055999999999</v>
      </c>
      <c r="CA45" s="14">
        <f t="shared" si="39"/>
        <v>27.768177525719913</v>
      </c>
      <c r="CB45" s="22">
        <f t="shared" si="10"/>
        <v>228.43480119062883</v>
      </c>
      <c r="CC45" s="62">
        <f t="shared" si="11"/>
        <v>521.76813452396209</v>
      </c>
      <c r="CD45" s="62">
        <f ca="1">AVERAGE(OFFSET($CC$3,0,0,'Données projet'!$E$12+1,1))-AVERAGE(OFFSET($H$3,0,0,'Données projet'!$E$12+1,1))</f>
        <v>154.44480170404967</v>
      </c>
      <c r="CE45" s="62">
        <f t="shared" si="40"/>
        <v>186.45728006007272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9">
        <f t="shared" si="1"/>
        <v>347.27486665053362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11.6</v>
      </c>
      <c r="N46" s="14">
        <f>IF('Données projet'!$A$36&gt;35,N45+M46-V45,IF(A46&lt;'Données projet'!$A$36,$K$205^A46,IF(A46='Données projet'!$A$36,'Données projet'!$B$36,N45+M46-V45)))</f>
        <v>204.8000000000001</v>
      </c>
      <c r="O46" s="14">
        <f>N46*VLOOKUP('Données projet'!$B$9,Paramètres!$A$1:$I$89,3,0)*VLOOKUP('Données projet'!$B$9,Paramètres!$A$1:$I$89,5,0)</f>
        <v>117.14560000000006</v>
      </c>
      <c r="P46" s="14">
        <f t="shared" si="33"/>
        <v>31.008327463794476</v>
      </c>
      <c r="Q46" s="22">
        <f t="shared" si="53"/>
        <v>258.0347569994421</v>
      </c>
      <c r="R46" s="62">
        <f t="shared" si="0"/>
        <v>551.36809033277541</v>
      </c>
      <c r="S46" s="62">
        <f ca="1">AVERAGE(OFFSET($R$3,0,0,'Données projet'!$E$9+1,1))-AVERAGE(OFFSET($H$3,0,0,'Données projet'!$E$9+1,1))</f>
        <v>178.42783874015521</v>
      </c>
      <c r="T46" s="62">
        <f t="shared" si="34"/>
        <v>140.03904900962556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1.2388912749102792</v>
      </c>
      <c r="AB46" s="23">
        <f>EXP(-LN(2)/2)*AB45+(1-EXP(-LN(2)/2))/(LN(2)/2)*V46*Y46*VLOOKUP('Données projet'!$B$9,Paramètres!$A$1:$I$89,3,0)*0.475*44/12</f>
        <v>7.5894946193571025E-3</v>
      </c>
      <c r="AC46" s="24">
        <f t="shared" si="3"/>
        <v>1.2464807695296363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14.1</v>
      </c>
      <c r="AI46" s="14">
        <f>IF('Données projet'!$A$62&gt;35,AI45+AH46-AQ45,IF(A46&lt;'Données projet'!$A$62,$AF$205^A46,IF(A46='Données projet'!$A$62,'Données projet'!$B$62,AI45+AH46-AQ45)))</f>
        <v>216.3</v>
      </c>
      <c r="AJ46" s="14">
        <f>AI46*VLOOKUP('Données projet'!$B$10,Paramètres!$A$1:$I$89,3,0)*VLOOKUP('Données projet'!$B$10,Paramètres!$A$1:$I$89,5,0)</f>
        <v>129.34740000000002</v>
      </c>
      <c r="AK46" s="14">
        <f t="shared" si="35"/>
        <v>33.845518493267228</v>
      </c>
      <c r="AL46" s="22">
        <f t="shared" si="4"/>
        <v>284.22766637577377</v>
      </c>
      <c r="AM46" s="62">
        <f t="shared" si="5"/>
        <v>577.56099970910714</v>
      </c>
      <c r="AN46" s="62">
        <f ca="1">AVERAGE(OFFSET($AM$3,0,0,'Données projet'!$E$10+1,1))-AVERAGE(OFFSET($H$3,0,0,'Données projet'!$E$10+1,1))</f>
        <v>216.16876563248064</v>
      </c>
      <c r="AO46" s="62">
        <f t="shared" si="36"/>
        <v>137.55906339137317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1.6117825700127855</v>
      </c>
      <c r="AW46" s="23">
        <f>EXP(-LN(2)/2)*AW45+(1-EXP(-LN(2)/2))/(LN(2)/2)*AQ46*AT46*VLOOKUP('Données projet'!$B$10,Paramètres!$A$1:$I$89,3,0)*0.475*44/12</f>
        <v>4.8624495461416319E-2</v>
      </c>
      <c r="AX46" s="23">
        <f t="shared" si="6"/>
        <v>1.6604070654742018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6.4</v>
      </c>
      <c r="BD46" s="13">
        <f>IF('Données projet'!$A$88&gt;35,BD45+BC46-BL45,IF(A46&lt;'Données projet'!$A$88,$BA$205^A46,IF(A46='Données projet'!$A$88,'Données projet'!$B$88,BD45+BC46-BL45)))</f>
        <v>164.20000000000002</v>
      </c>
      <c r="BE46" s="14">
        <f>BD46*VLOOKUP('Données projet'!$B$11,Paramètres!$A$1:$I$89,3,0)*VLOOKUP('Données projet'!$B$11,Paramètres!$A$1:$I$89,5,0)</f>
        <v>107.58384</v>
      </c>
      <c r="BF46" s="14">
        <f t="shared" si="37"/>
        <v>28.760984680893039</v>
      </c>
      <c r="BG46" s="22">
        <f t="shared" si="7"/>
        <v>237.46723631922202</v>
      </c>
      <c r="BH46" s="62">
        <f t="shared" si="8"/>
        <v>530.8005696525554</v>
      </c>
      <c r="BI46" s="62">
        <f ca="1">AVERAGE(OFFSET($BH$3,0,0,'Données projet'!$E$11+1,1))-AVERAGE(OFFSET($H$3,0,0,'Données projet'!$E$11+1,1))</f>
        <v>154.44480170404967</v>
      </c>
      <c r="BJ46" s="62">
        <f t="shared" si="38"/>
        <v>186.45728006007272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6.4</v>
      </c>
      <c r="BY46" s="13">
        <f>IF('Données projet'!$A$114&gt;35,BY45+BX46-CG45,IF(A46&lt;'Données projet'!$A$114,$BV$205^A46,IF(A46='Données projet'!$A$114,'Données projet'!$B$114,BY45+BX46-CG45)))</f>
        <v>164.20000000000002</v>
      </c>
      <c r="BZ46" s="14">
        <f>BY46*VLOOKUP('Données projet'!$B$12,Paramètres!$A$1:$I$89,3,0)*VLOOKUP('Données projet'!$B$12,Paramètres!$A$1:$I$89,5,0)</f>
        <v>107.58384</v>
      </c>
      <c r="CA46" s="14">
        <f t="shared" si="39"/>
        <v>28.760984680893039</v>
      </c>
      <c r="CB46" s="22">
        <f t="shared" si="10"/>
        <v>237.46723631922202</v>
      </c>
      <c r="CC46" s="62">
        <f t="shared" si="11"/>
        <v>530.8005696525554</v>
      </c>
      <c r="CD46" s="62">
        <f ca="1">AVERAGE(OFFSET($CC$3,0,0,'Données projet'!$E$12+1,1))-AVERAGE(OFFSET($H$3,0,0,'Données projet'!$E$12+1,1))</f>
        <v>154.44480170404967</v>
      </c>
      <c r="CE46" s="62">
        <f t="shared" si="40"/>
        <v>186.45728006007272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9">
        <f t="shared" si="1"/>
        <v>348.49363314706295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11.6</v>
      </c>
      <c r="N47" s="14">
        <f>IF('Données projet'!$A$36&gt;35,N46+M47-V46,IF(A47&lt;'Données projet'!$A$36,$K$205^A47,IF(A47='Données projet'!$A$36,'Données projet'!$B$36,N46+M47-V46)))</f>
        <v>216.40000000000009</v>
      </c>
      <c r="O47" s="14">
        <f>N47*VLOOKUP('Données projet'!$B$9,Paramètres!$A$1:$I$89,3,0)*VLOOKUP('Données projet'!$B$9,Paramètres!$A$1:$I$89,5,0)</f>
        <v>123.78080000000006</v>
      </c>
      <c r="P47" s="14">
        <f t="shared" si="33"/>
        <v>32.555210491234583</v>
      </c>
      <c r="Q47" s="22">
        <f t="shared" si="53"/>
        <v>272.28521827223369</v>
      </c>
      <c r="R47" s="62">
        <f t="shared" si="0"/>
        <v>565.61855160556706</v>
      </c>
      <c r="S47" s="62">
        <f ca="1">AVERAGE(OFFSET($R$3,0,0,'Données projet'!$E$9+1,1))-AVERAGE(OFFSET($H$3,0,0,'Données projet'!$E$9+1,1))</f>
        <v>178.42783874015521</v>
      </c>
      <c r="T47" s="62">
        <f t="shared" si="34"/>
        <v>140.03904900962556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1.2050137278473969</v>
      </c>
      <c r="AB47" s="23">
        <f>EXP(-LN(2)/2)*AB46+(1-EXP(-LN(2)/2))/(LN(2)/2)*V47*Y47*VLOOKUP('Données projet'!$B$9,Paramètres!$A$1:$I$89,3,0)*0.475*44/12</f>
        <v>5.3665831111262231E-3</v>
      </c>
      <c r="AC47" s="24">
        <f t="shared" si="3"/>
        <v>1.2103803109585232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14.1</v>
      </c>
      <c r="AI47" s="14">
        <f>IF('Données projet'!$A$62&gt;35,AI46+AH47-AQ46,IF(A47&lt;'Données projet'!$A$62,$AF$205^A47,IF(A47='Données projet'!$A$62,'Données projet'!$B$62,AI46+AH47-AQ46)))</f>
        <v>230.4</v>
      </c>
      <c r="AJ47" s="14">
        <f>AI47*VLOOKUP('Données projet'!$B$10,Paramètres!$A$1:$I$89,3,0)*VLOOKUP('Données projet'!$B$10,Paramètres!$A$1:$I$89,5,0)</f>
        <v>137.7792</v>
      </c>
      <c r="AK47" s="14">
        <f t="shared" si="35"/>
        <v>35.787778913287674</v>
      </c>
      <c r="AL47" s="22">
        <f t="shared" si="4"/>
        <v>302.29582160730934</v>
      </c>
      <c r="AM47" s="62">
        <f t="shared" si="5"/>
        <v>595.62915494064259</v>
      </c>
      <c r="AN47" s="62">
        <f ca="1">AVERAGE(OFFSET($AM$3,0,0,'Données projet'!$E$10+1,1))-AVERAGE(OFFSET($H$3,0,0,'Données projet'!$E$10+1,1))</f>
        <v>216.16876563248064</v>
      </c>
      <c r="AO47" s="62">
        <f t="shared" si="36"/>
        <v>137.55906339137317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1.5677082908758242</v>
      </c>
      <c r="AW47" s="23">
        <f>EXP(-LN(2)/2)*AW46+(1-EXP(-LN(2)/2))/(LN(2)/2)*AQ47*AT47*VLOOKUP('Données projet'!$B$10,Paramètres!$A$1:$I$89,3,0)*0.475*44/12</f>
        <v>3.4382710472541982E-2</v>
      </c>
      <c r="AX47" s="23">
        <f t="shared" si="6"/>
        <v>1.6020910013483662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6.4</v>
      </c>
      <c r="BD47" s="13">
        <f>IF('Données projet'!$A$88&gt;35,BD46+BC47-BL46,IF(A47&lt;'Données projet'!$A$88,$BA$205^A47,IF(A47='Données projet'!$A$88,'Données projet'!$B$88,BD46+BC47-BL46)))</f>
        <v>170.60000000000002</v>
      </c>
      <c r="BE47" s="14">
        <f>BD47*VLOOKUP('Données projet'!$B$11,Paramètres!$A$1:$I$89,3,0)*VLOOKUP('Données projet'!$B$11,Paramètres!$A$1:$I$89,5,0)</f>
        <v>111.77712000000001</v>
      </c>
      <c r="BF47" s="14">
        <f t="shared" si="37"/>
        <v>29.749296563258223</v>
      </c>
      <c r="BG47" s="22">
        <f t="shared" si="7"/>
        <v>246.49184218100808</v>
      </c>
      <c r="BH47" s="62">
        <f t="shared" si="8"/>
        <v>539.82517551434137</v>
      </c>
      <c r="BI47" s="62">
        <f ca="1">AVERAGE(OFFSET($BH$3,0,0,'Données projet'!$E$11+1,1))-AVERAGE(OFFSET($H$3,0,0,'Données projet'!$E$11+1,1))</f>
        <v>154.44480170404967</v>
      </c>
      <c r="BJ47" s="62">
        <f t="shared" si="38"/>
        <v>186.45728006007272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6.4</v>
      </c>
      <c r="BY47" s="13">
        <f>IF('Données projet'!$A$114&gt;35,BY46+BX47-CG46,IF(A47&lt;'Données projet'!$A$114,$BV$205^A47,IF(A47='Données projet'!$A$114,'Données projet'!$B$114,BY46+BX47-CG46)))</f>
        <v>170.60000000000002</v>
      </c>
      <c r="BZ47" s="14">
        <f>BY47*VLOOKUP('Données projet'!$B$12,Paramètres!$A$1:$I$89,3,0)*VLOOKUP('Données projet'!$B$12,Paramètres!$A$1:$I$89,5,0)</f>
        <v>111.77712000000001</v>
      </c>
      <c r="CA47" s="14">
        <f t="shared" si="39"/>
        <v>29.749296563258223</v>
      </c>
      <c r="CB47" s="22">
        <f t="shared" si="10"/>
        <v>246.49184218100808</v>
      </c>
      <c r="CC47" s="62">
        <f t="shared" si="11"/>
        <v>539.82517551434137</v>
      </c>
      <c r="CD47" s="62">
        <f ca="1">AVERAGE(OFFSET($CC$3,0,0,'Données projet'!$E$12+1,1))-AVERAGE(OFFSET($H$3,0,0,'Données projet'!$E$12+1,1))</f>
        <v>154.44480170404967</v>
      </c>
      <c r="CE47" s="62">
        <f t="shared" si="40"/>
        <v>186.45728006007272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9">
        <f t="shared" si="1"/>
        <v>349.7116920191595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11.6</v>
      </c>
      <c r="N48" s="14">
        <f>IF('Données projet'!$A$36&gt;35,N47+M48-V47,IF(A48&lt;'Données projet'!$A$36,$K$205^A48,IF(A48='Données projet'!$A$36,'Données projet'!$B$36,N47+M48-V47)))</f>
        <v>228.00000000000009</v>
      </c>
      <c r="O48" s="14">
        <f>N48*VLOOKUP('Données projet'!$B$9,Paramètres!$A$1:$I$89,3,0)*VLOOKUP('Données projet'!$B$9,Paramètres!$A$1:$I$89,5,0)</f>
        <v>130.41600000000005</v>
      </c>
      <c r="P48" s="14">
        <f t="shared" si="33"/>
        <v>34.092466837179941</v>
      </c>
      <c r="Q48" s="22">
        <f t="shared" si="53"/>
        <v>286.51891307475512</v>
      </c>
      <c r="R48" s="62">
        <f t="shared" si="0"/>
        <v>579.85224640808838</v>
      </c>
      <c r="S48" s="62">
        <f ca="1">AVERAGE(OFFSET($R$3,0,0,'Données projet'!$E$9+1,1))-AVERAGE(OFFSET($H$3,0,0,'Données projet'!$E$9+1,1))</f>
        <v>178.42783874015521</v>
      </c>
      <c r="T48" s="62">
        <f t="shared" si="34"/>
        <v>140.03904900962556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1.172062564090492</v>
      </c>
      <c r="AB48" s="23">
        <f>EXP(-LN(2)/2)*AB47+(1-EXP(-LN(2)/2))/(LN(2)/2)*V48*Y48*VLOOKUP('Données projet'!$B$9,Paramètres!$A$1:$I$89,3,0)*0.475*44/12</f>
        <v>3.7947473096785521E-3</v>
      </c>
      <c r="AC48" s="24">
        <f t="shared" si="3"/>
        <v>1.1758573114001707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14.1</v>
      </c>
      <c r="AI48" s="14">
        <f>IF('Données projet'!$A$62&gt;35,AI47+AH48-AQ47,IF(A48&lt;'Données projet'!$A$62,$AF$205^A48,IF(A48='Données projet'!$A$62,'Données projet'!$B$62,AI47+AH48-AQ47)))</f>
        <v>244.5</v>
      </c>
      <c r="AJ48" s="14">
        <f>AI48*VLOOKUP('Données projet'!$B$10,Paramètres!$A$1:$I$89,3,0)*VLOOKUP('Données projet'!$B$10,Paramètres!$A$1:$I$89,5,0)</f>
        <v>146.21100000000001</v>
      </c>
      <c r="AK48" s="14">
        <f t="shared" si="35"/>
        <v>37.71624383608448</v>
      </c>
      <c r="AL48" s="22">
        <f t="shared" si="4"/>
        <v>320.33994968118049</v>
      </c>
      <c r="AM48" s="62">
        <f t="shared" si="5"/>
        <v>613.6732830145138</v>
      </c>
      <c r="AN48" s="62">
        <f ca="1">AVERAGE(OFFSET($AM$3,0,0,'Données projet'!$E$10+1,1))-AVERAGE(OFFSET($H$3,0,0,'Données projet'!$E$10+1,1))</f>
        <v>216.16876563248064</v>
      </c>
      <c r="AO48" s="62">
        <f t="shared" si="36"/>
        <v>137.55906339137317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1.5248392252196288</v>
      </c>
      <c r="AW48" s="23">
        <f>EXP(-LN(2)/2)*AW47+(1-EXP(-LN(2)/2))/(LN(2)/2)*AQ48*AT48*VLOOKUP('Données projet'!$B$10,Paramètres!$A$1:$I$89,3,0)*0.475*44/12</f>
        <v>2.4312247730708159E-2</v>
      </c>
      <c r="AX48" s="23">
        <f t="shared" si="6"/>
        <v>1.5491514729503368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177</v>
      </c>
      <c r="BB48" s="13">
        <f>VLOOKUP(A48,'Données projet'!$A$87:$I$107,9,0)</f>
        <v>6.4</v>
      </c>
      <c r="BC48" s="13">
        <f t="array" ref="BC48">INDEX(BB:BB,MIN(IF(ISNUMBER(BB48:BB244),ROW(BB48:BB244),"")))</f>
        <v>6.4</v>
      </c>
      <c r="BD48" s="13">
        <f>IF('Données projet'!$A$88&gt;35,BD47+BC48-BL47,IF(A48&lt;'Données projet'!$A$88,$BA$205^A48,IF(A48='Données projet'!$A$88,'Données projet'!$B$88,BD47+BC48-BL47)))</f>
        <v>177.00000000000003</v>
      </c>
      <c r="BE48" s="14">
        <f>BD48*VLOOKUP('Données projet'!$B$11,Paramètres!$A$1:$I$89,3,0)*VLOOKUP('Données projet'!$B$11,Paramètres!$A$1:$I$89,5,0)</f>
        <v>115.97040000000001</v>
      </c>
      <c r="BF48" s="14">
        <f t="shared" si="37"/>
        <v>30.733301120222794</v>
      </c>
      <c r="BG48" s="22">
        <f t="shared" si="7"/>
        <v>255.50894611772139</v>
      </c>
      <c r="BH48" s="62">
        <f t="shared" si="8"/>
        <v>548.84227945105476</v>
      </c>
      <c r="BI48" s="62">
        <f ca="1">AVERAGE(OFFSET($BH$3,0,0,'Données projet'!$E$11+1,1))-AVERAGE(OFFSET($H$3,0,0,'Données projet'!$E$11+1,1))</f>
        <v>154.44480170404967</v>
      </c>
      <c r="BJ48" s="62">
        <f t="shared" si="38"/>
        <v>186.45728006007272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177</v>
      </c>
      <c r="BW48" s="13">
        <f>VLOOKUP(A48,'Données projet'!$A$113:$I$133,9,0)</f>
        <v>6.4</v>
      </c>
      <c r="BX48" s="13">
        <f t="array" ref="BX48">INDEX(BW:BW,MIN(IF(ISNUMBER(BW48:BW244),ROW(BW48:BW244),"")))</f>
        <v>6.4</v>
      </c>
      <c r="BY48" s="13">
        <f>IF('Données projet'!$A$114&gt;35,BY47+BX48-CG47,IF(A48&lt;'Données projet'!$A$114,$BV$205^A48,IF(A48='Données projet'!$A$114,'Données projet'!$B$114,BY47+BX48-CG47)))</f>
        <v>177.00000000000003</v>
      </c>
      <c r="BZ48" s="14">
        <f>BY48*VLOOKUP('Données projet'!$B$12,Paramètres!$A$1:$I$89,3,0)*VLOOKUP('Données projet'!$B$12,Paramètres!$A$1:$I$89,5,0)</f>
        <v>115.97040000000001</v>
      </c>
      <c r="CA48" s="14">
        <f t="shared" si="39"/>
        <v>30.733301120222794</v>
      </c>
      <c r="CB48" s="22">
        <f t="shared" si="10"/>
        <v>255.50894611772139</v>
      </c>
      <c r="CC48" s="62">
        <f t="shared" si="11"/>
        <v>548.84227945105476</v>
      </c>
      <c r="CD48" s="62">
        <f ca="1">AVERAGE(OFFSET($CC$3,0,0,'Données projet'!$E$12+1,1))-AVERAGE(OFFSET($H$3,0,0,'Données projet'!$E$12+1,1))</f>
        <v>154.44480170404967</v>
      </c>
      <c r="CE48" s="62">
        <f t="shared" si="40"/>
        <v>186.45728006007272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9">
        <f t="shared" si="1"/>
        <v>350.92906080242972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11.6</v>
      </c>
      <c r="N49" s="14">
        <f>IF('Données projet'!$A$36&gt;35,N48+M49-V48,IF(A49&lt;'Données projet'!$A$36,$K$205^A49,IF(A49='Données projet'!$A$36,'Données projet'!$B$36,N48+M49-V48)))</f>
        <v>239.60000000000008</v>
      </c>
      <c r="O49" s="14">
        <f>N49*VLOOKUP('Données projet'!$B$9,Paramètres!$A$1:$I$89,3,0)*VLOOKUP('Données projet'!$B$9,Paramètres!$A$1:$I$89,5,0)</f>
        <v>137.05120000000005</v>
      </c>
      <c r="P49" s="14">
        <f t="shared" si="33"/>
        <v>35.620642156874403</v>
      </c>
      <c r="Q49" s="22">
        <f t="shared" si="53"/>
        <v>300.73679175655633</v>
      </c>
      <c r="R49" s="62">
        <f t="shared" si="0"/>
        <v>594.07012508988964</v>
      </c>
      <c r="S49" s="62">
        <f ca="1">AVERAGE(OFFSET($R$3,0,0,'Données projet'!$E$9+1,1))-AVERAGE(OFFSET($H$3,0,0,'Données projet'!$E$9+1,1))</f>
        <v>178.42783874015521</v>
      </c>
      <c r="T49" s="62">
        <f t="shared" si="34"/>
        <v>140.03904900962556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1.1400124516393462</v>
      </c>
      <c r="AB49" s="23">
        <f>EXP(-LN(2)/2)*AB48+(1-EXP(-LN(2)/2))/(LN(2)/2)*V49*Y49*VLOOKUP('Données projet'!$B$9,Paramètres!$A$1:$I$89,3,0)*0.475*44/12</f>
        <v>2.683291555563112E-3</v>
      </c>
      <c r="AC49" s="24">
        <f t="shared" si="3"/>
        <v>1.1426957431949092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14.1</v>
      </c>
      <c r="AI49" s="14">
        <f>IF('Données projet'!$A$62&gt;35,AI48+AH49-AQ48,IF(A49&lt;'Données projet'!$A$62,$AF$205^A49,IF(A49='Données projet'!$A$62,'Données projet'!$B$62,AI48+AH49-AQ48)))</f>
        <v>258.60000000000002</v>
      </c>
      <c r="AJ49" s="14">
        <f>AI49*VLOOKUP('Données projet'!$B$10,Paramètres!$A$1:$I$89,3,0)*VLOOKUP('Données projet'!$B$10,Paramètres!$A$1:$I$89,5,0)</f>
        <v>154.64280000000002</v>
      </c>
      <c r="AK49" s="14">
        <f t="shared" si="35"/>
        <v>39.631799470164985</v>
      </c>
      <c r="AL49" s="22">
        <f t="shared" si="4"/>
        <v>338.36159407720407</v>
      </c>
      <c r="AM49" s="62">
        <f t="shared" si="5"/>
        <v>631.69492741053739</v>
      </c>
      <c r="AN49" s="62">
        <f ca="1">AVERAGE(OFFSET($AM$3,0,0,'Données projet'!$E$10+1,1))-AVERAGE(OFFSET($H$3,0,0,'Données projet'!$E$10+1,1))</f>
        <v>216.16876563248064</v>
      </c>
      <c r="AO49" s="62">
        <f t="shared" si="36"/>
        <v>137.55906339137317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1.4831424164181883</v>
      </c>
      <c r="AW49" s="23">
        <f>EXP(-LN(2)/2)*AW48+(1-EXP(-LN(2)/2))/(LN(2)/2)*AQ49*AT49*VLOOKUP('Données projet'!$B$10,Paramètres!$A$1:$I$89,3,0)*0.475*44/12</f>
        <v>1.7191355236270991E-2</v>
      </c>
      <c r="AX49" s="23">
        <f t="shared" si="6"/>
        <v>1.5003337716544594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5.8</v>
      </c>
      <c r="BD49" s="13">
        <f>IF('Données projet'!$A$88&gt;35,BD48+BC49-BL48,IF(A49&lt;'Données projet'!$A$88,$BA$205^A49,IF(A49='Données projet'!$A$88,'Données projet'!$B$88,BD48+BC49-BL48)))</f>
        <v>182.80000000000004</v>
      </c>
      <c r="BE49" s="14">
        <f>BD49*VLOOKUP('Données projet'!$B$11,Paramètres!$A$1:$I$89,3,0)*VLOOKUP('Données projet'!$B$11,Paramètres!$A$1:$I$89,5,0)</f>
        <v>119.77056000000002</v>
      </c>
      <c r="BF49" s="14">
        <f t="shared" si="37"/>
        <v>31.6214802228608</v>
      </c>
      <c r="BG49" s="22">
        <f t="shared" si="7"/>
        <v>263.67447005481591</v>
      </c>
      <c r="BH49" s="62">
        <f t="shared" si="8"/>
        <v>557.00780338814923</v>
      </c>
      <c r="BI49" s="62">
        <f ca="1">AVERAGE(OFFSET($BH$3,0,0,'Données projet'!$E$11+1,1))-AVERAGE(OFFSET($H$3,0,0,'Données projet'!$E$11+1,1))</f>
        <v>154.44480170404967</v>
      </c>
      <c r="BJ49" s="62">
        <f t="shared" si="38"/>
        <v>186.45728006007272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5.8</v>
      </c>
      <c r="BY49" s="13">
        <f>IF('Données projet'!$A$114&gt;35,BY48+BX49-CG48,IF(A49&lt;'Données projet'!$A$114,$BV$205^A49,IF(A49='Données projet'!$A$114,'Données projet'!$B$114,BY48+BX49-CG48)))</f>
        <v>182.80000000000004</v>
      </c>
      <c r="BZ49" s="14">
        <f>BY49*VLOOKUP('Données projet'!$B$12,Paramètres!$A$1:$I$89,3,0)*VLOOKUP('Données projet'!$B$12,Paramètres!$A$1:$I$89,5,0)</f>
        <v>119.77056000000002</v>
      </c>
      <c r="CA49" s="14">
        <f t="shared" si="39"/>
        <v>31.6214802228608</v>
      </c>
      <c r="CB49" s="22">
        <f t="shared" si="10"/>
        <v>263.67447005481591</v>
      </c>
      <c r="CC49" s="62">
        <f t="shared" si="11"/>
        <v>557.00780338814923</v>
      </c>
      <c r="CD49" s="62">
        <f ca="1">AVERAGE(OFFSET($CC$3,0,0,'Données projet'!$E$12+1,1))-AVERAGE(OFFSET($H$3,0,0,'Données projet'!$E$12+1,1))</f>
        <v>154.44480170404967</v>
      </c>
      <c r="CE49" s="62">
        <f t="shared" si="40"/>
        <v>186.45728006007272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9">
        <f t="shared" si="1"/>
        <v>352.14575622651876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11.6</v>
      </c>
      <c r="N50" s="14">
        <f>IF('Données projet'!$A$36&gt;35,N49+M50-V49,IF(A50&lt;'Données projet'!$A$36,$K$205^A50,IF(A50='Données projet'!$A$36,'Données projet'!$B$36,N49+M50-V49)))</f>
        <v>251.20000000000007</v>
      </c>
      <c r="O50" s="14">
        <f>N50*VLOOKUP('Données projet'!$B$9,Paramètres!$A$1:$I$89,3,0)*VLOOKUP('Données projet'!$B$9,Paramètres!$A$1:$I$89,5,0)</f>
        <v>143.68640000000005</v>
      </c>
      <c r="P50" s="14">
        <f t="shared" si="33"/>
        <v>37.140226285695888</v>
      </c>
      <c r="Q50" s="22">
        <f t="shared" si="53"/>
        <v>314.93970744758707</v>
      </c>
      <c r="R50" s="62">
        <f t="shared" si="0"/>
        <v>608.27304078092038</v>
      </c>
      <c r="S50" s="62">
        <f ca="1">AVERAGE(OFFSET($R$3,0,0,'Données projet'!$E$9+1,1))-AVERAGE(OFFSET($H$3,0,0,'Données projet'!$E$9+1,1))</f>
        <v>178.42783874015521</v>
      </c>
      <c r="T50" s="62">
        <f t="shared" si="34"/>
        <v>140.03904900962556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1.1088387511986189</v>
      </c>
      <c r="AB50" s="23">
        <f>EXP(-LN(2)/2)*AB49+(1-EXP(-LN(2)/2))/(LN(2)/2)*V50*Y50*VLOOKUP('Données projet'!$B$9,Paramètres!$A$1:$I$89,3,0)*0.475*44/12</f>
        <v>1.8973736548392763E-3</v>
      </c>
      <c r="AC50" s="24">
        <f t="shared" si="3"/>
        <v>1.1107361248534582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14.1</v>
      </c>
      <c r="AI50" s="14">
        <f>IF('Données projet'!$A$62&gt;35,AI49+AH50-AQ49,IF(A50&lt;'Données projet'!$A$62,$AF$205^A50,IF(A50='Données projet'!$A$62,'Données projet'!$B$62,AI49+AH50-AQ49)))</f>
        <v>272.70000000000005</v>
      </c>
      <c r="AJ50" s="14">
        <f>AI50*VLOOKUP('Données projet'!$B$10,Paramètres!$A$1:$I$89,3,0)*VLOOKUP('Données projet'!$B$10,Paramètres!$A$1:$I$89,5,0)</f>
        <v>163.07460000000003</v>
      </c>
      <c r="AK50" s="14">
        <f t="shared" si="35"/>
        <v>41.535229926099966</v>
      </c>
      <c r="AL50" s="22">
        <f t="shared" si="4"/>
        <v>356.36212045462412</v>
      </c>
      <c r="AM50" s="62">
        <f t="shared" si="5"/>
        <v>649.69545378795738</v>
      </c>
      <c r="AN50" s="62">
        <f ca="1">AVERAGE(OFFSET($AM$3,0,0,'Données projet'!$E$10+1,1))-AVERAGE(OFFSET($H$3,0,0,'Données projet'!$E$10+1,1))</f>
        <v>216.16876563248064</v>
      </c>
      <c r="AO50" s="62">
        <f t="shared" si="36"/>
        <v>137.55906339137317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1.442585809046163</v>
      </c>
      <c r="AW50" s="23">
        <f>EXP(-LN(2)/2)*AW49+(1-EXP(-LN(2)/2))/(LN(2)/2)*AQ50*AT50*VLOOKUP('Données projet'!$B$10,Paramètres!$A$1:$I$89,3,0)*0.475*44/12</f>
        <v>1.215612386535408E-2</v>
      </c>
      <c r="AX50" s="23">
        <f t="shared" si="6"/>
        <v>1.454741932911517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5.8</v>
      </c>
      <c r="BD50" s="13">
        <f>IF('Données projet'!$A$88&gt;35,BD49+BC50-BL49,IF(A50&lt;'Données projet'!$A$88,$BA$205^A50,IF(A50='Données projet'!$A$88,'Données projet'!$B$88,BD49+BC50-BL49)))</f>
        <v>188.60000000000005</v>
      </c>
      <c r="BE50" s="14">
        <f>BD50*VLOOKUP('Données projet'!$B$11,Paramètres!$A$1:$I$89,3,0)*VLOOKUP('Données projet'!$B$11,Paramètres!$A$1:$I$89,5,0)</f>
        <v>123.57072000000004</v>
      </c>
      <c r="BF50" s="14">
        <f t="shared" si="37"/>
        <v>32.506384557027701</v>
      </c>
      <c r="BG50" s="22">
        <f t="shared" si="7"/>
        <v>271.83429043682327</v>
      </c>
      <c r="BH50" s="62">
        <f t="shared" si="8"/>
        <v>565.16762377015652</v>
      </c>
      <c r="BI50" s="62">
        <f ca="1">AVERAGE(OFFSET($BH$3,0,0,'Données projet'!$E$11+1,1))-AVERAGE(OFFSET($H$3,0,0,'Données projet'!$E$11+1,1))</f>
        <v>154.44480170404967</v>
      </c>
      <c r="BJ50" s="62">
        <f t="shared" si="38"/>
        <v>186.45728006007272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5.8</v>
      </c>
      <c r="BY50" s="13">
        <f>IF('Données projet'!$A$114&gt;35,BY49+BX50-CG49,IF(A50&lt;'Données projet'!$A$114,$BV$205^A50,IF(A50='Données projet'!$A$114,'Données projet'!$B$114,BY49+BX50-CG49)))</f>
        <v>188.60000000000005</v>
      </c>
      <c r="BZ50" s="14">
        <f>BY50*VLOOKUP('Données projet'!$B$12,Paramètres!$A$1:$I$89,3,0)*VLOOKUP('Données projet'!$B$12,Paramètres!$A$1:$I$89,5,0)</f>
        <v>123.57072000000004</v>
      </c>
      <c r="CA50" s="14">
        <f t="shared" si="39"/>
        <v>32.506384557027701</v>
      </c>
      <c r="CB50" s="22">
        <f t="shared" si="10"/>
        <v>271.83429043682327</v>
      </c>
      <c r="CC50" s="62">
        <f t="shared" si="11"/>
        <v>565.16762377015652</v>
      </c>
      <c r="CD50" s="62">
        <f ca="1">AVERAGE(OFFSET($CC$3,0,0,'Données projet'!$E$12+1,1))-AVERAGE(OFFSET($H$3,0,0,'Données projet'!$E$12+1,1))</f>
        <v>154.44480170404967</v>
      </c>
      <c r="CE50" s="62">
        <f t="shared" si="40"/>
        <v>186.45728006007272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9">
        <f t="shared" si="1"/>
        <v>353.361794268501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11.6</v>
      </c>
      <c r="N51" s="14">
        <f>IF('Données projet'!$A$36&gt;35,N50+M51-V50,IF(A51&lt;'Données projet'!$A$36,$K$205^A51,IF(A51='Données projet'!$A$36,'Données projet'!$B$36,N50+M51-V50)))</f>
        <v>262.80000000000007</v>
      </c>
      <c r="O51" s="14">
        <f>N51*VLOOKUP('Données projet'!$B$9,Paramètres!$A$1:$I$89,3,0)*VLOOKUP('Données projet'!$B$9,Paramètres!$A$1:$I$89,5,0)</f>
        <v>150.32160000000005</v>
      </c>
      <c r="P51" s="14">
        <f t="shared" si="33"/>
        <v>38.651661262565312</v>
      </c>
      <c r="Q51" s="22">
        <f t="shared" si="53"/>
        <v>329.12843003230131</v>
      </c>
      <c r="R51" s="62">
        <f t="shared" si="0"/>
        <v>622.46176336563462</v>
      </c>
      <c r="S51" s="62">
        <f ca="1">AVERAGE(OFFSET($R$3,0,0,'Données projet'!$E$9+1,1))-AVERAGE(OFFSET($H$3,0,0,'Données projet'!$E$9+1,1))</f>
        <v>178.42783874015521</v>
      </c>
      <c r="T51" s="62">
        <f t="shared" si="34"/>
        <v>140.03904900962556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1.0785174972357969</v>
      </c>
      <c r="AB51" s="23">
        <f>EXP(-LN(2)/2)*AB50+(1-EXP(-LN(2)/2))/(LN(2)/2)*V51*Y51*VLOOKUP('Données projet'!$B$9,Paramètres!$A$1:$I$89,3,0)*0.475*44/12</f>
        <v>1.3416457777815562E-3</v>
      </c>
      <c r="AC51" s="24">
        <f t="shared" si="3"/>
        <v>1.0798591430135784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14.1</v>
      </c>
      <c r="AI51" s="14">
        <f>IF('Données projet'!$A$62&gt;35,AI50+AH51-AQ50,IF(A51&lt;'Données projet'!$A$62,$AF$205^A51,IF(A51='Données projet'!$A$62,'Données projet'!$B$62,AI50+AH51-AQ50)))</f>
        <v>286.80000000000007</v>
      </c>
      <c r="AJ51" s="14">
        <f>AI51*VLOOKUP('Données projet'!$B$10,Paramètres!$A$1:$I$89,3,0)*VLOOKUP('Données projet'!$B$10,Paramètres!$A$1:$I$89,5,0)</f>
        <v>171.50640000000004</v>
      </c>
      <c r="AK51" s="14">
        <f t="shared" si="35"/>
        <v>43.427233649451665</v>
      </c>
      <c r="AL51" s="22">
        <f t="shared" si="4"/>
        <v>374.34274527279507</v>
      </c>
      <c r="AM51" s="62">
        <f t="shared" si="5"/>
        <v>667.67607860612839</v>
      </c>
      <c r="AN51" s="62">
        <f ca="1">AVERAGE(OFFSET($AM$3,0,0,'Données projet'!$E$10+1,1))-AVERAGE(OFFSET($H$3,0,0,'Données projet'!$E$10+1,1))</f>
        <v>216.16876563248064</v>
      </c>
      <c r="AO51" s="62">
        <f t="shared" si="36"/>
        <v>137.55906339137317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1.403138224235505</v>
      </c>
      <c r="AW51" s="23">
        <f>EXP(-LN(2)/2)*AW50+(1-EXP(-LN(2)/2))/(LN(2)/2)*AQ51*AT51*VLOOKUP('Données projet'!$B$10,Paramètres!$A$1:$I$89,3,0)*0.475*44/12</f>
        <v>8.5956776181354954E-3</v>
      </c>
      <c r="AX51" s="23">
        <f t="shared" si="6"/>
        <v>1.4117339018536406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5.8</v>
      </c>
      <c r="BD51" s="13">
        <f>IF('Données projet'!$A$88&gt;35,BD50+BC51-BL50,IF(A51&lt;'Données projet'!$A$88,$BA$205^A51,IF(A51='Données projet'!$A$88,'Données projet'!$B$88,BD50+BC51-BL50)))</f>
        <v>194.40000000000006</v>
      </c>
      <c r="BE51" s="14">
        <f>BD51*VLOOKUP('Données projet'!$B$11,Paramètres!$A$1:$I$89,3,0)*VLOOKUP('Données projet'!$B$11,Paramètres!$A$1:$I$89,5,0)</f>
        <v>127.37088000000004</v>
      </c>
      <c r="BF51" s="14">
        <f t="shared" si="37"/>
        <v>33.388126388800522</v>
      </c>
      <c r="BG51" s="22">
        <f t="shared" si="7"/>
        <v>279.98860279382762</v>
      </c>
      <c r="BH51" s="62">
        <f t="shared" si="8"/>
        <v>573.32193612716094</v>
      </c>
      <c r="BI51" s="62">
        <f ca="1">AVERAGE(OFFSET($BH$3,0,0,'Données projet'!$E$11+1,1))-AVERAGE(OFFSET($H$3,0,0,'Données projet'!$E$11+1,1))</f>
        <v>154.44480170404967</v>
      </c>
      <c r="BJ51" s="62">
        <f t="shared" si="38"/>
        <v>186.45728006007272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5.8</v>
      </c>
      <c r="BY51" s="13">
        <f>IF('Données projet'!$A$114&gt;35,BY50+BX51-CG50,IF(A51&lt;'Données projet'!$A$114,$BV$205^A51,IF(A51='Données projet'!$A$114,'Données projet'!$B$114,BY50+BX51-CG50)))</f>
        <v>194.40000000000006</v>
      </c>
      <c r="BZ51" s="14">
        <f>BY51*VLOOKUP('Données projet'!$B$12,Paramètres!$A$1:$I$89,3,0)*VLOOKUP('Données projet'!$B$12,Paramètres!$A$1:$I$89,5,0)</f>
        <v>127.37088000000004</v>
      </c>
      <c r="CA51" s="14">
        <f t="shared" si="39"/>
        <v>33.388126388800522</v>
      </c>
      <c r="CB51" s="22">
        <f t="shared" si="10"/>
        <v>279.98860279382762</v>
      </c>
      <c r="CC51" s="62">
        <f t="shared" si="11"/>
        <v>573.32193612716094</v>
      </c>
      <c r="CD51" s="62">
        <f ca="1">AVERAGE(OFFSET($CC$3,0,0,'Données projet'!$E$12+1,1))-AVERAGE(OFFSET($H$3,0,0,'Données projet'!$E$12+1,1))</f>
        <v>154.44480170404967</v>
      </c>
      <c r="CE51" s="62">
        <f t="shared" si="40"/>
        <v>186.45728006007272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9">
        <f t="shared" si="1"/>
        <v>354.57719020169571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11.6</v>
      </c>
      <c r="N52" s="14">
        <f>IF('Données projet'!$A$36&gt;35,N51+M52-V51,IF(A52&lt;'Données projet'!$A$36,$K$205^A52,IF(A52='Données projet'!$A$36,'Données projet'!$B$36,N51+M52-V51)))</f>
        <v>274.40000000000009</v>
      </c>
      <c r="O52" s="14">
        <f>N52*VLOOKUP('Données projet'!$B$9,Paramètres!$A$1:$I$89,3,0)*VLOOKUP('Données projet'!$B$9,Paramètres!$A$1:$I$89,5,0)</f>
        <v>156.95680000000007</v>
      </c>
      <c r="P52" s="14">
        <f t="shared" si="33"/>
        <v>40.155347896746875</v>
      </c>
      <c r="Q52" s="22">
        <f t="shared" si="53"/>
        <v>343.30365758683416</v>
      </c>
      <c r="R52" s="62">
        <f t="shared" si="0"/>
        <v>636.63699092016748</v>
      </c>
      <c r="S52" s="62">
        <f ca="1">AVERAGE(OFFSET($R$3,0,0,'Données projet'!$E$9+1,1))-AVERAGE(OFFSET($H$3,0,0,'Données projet'!$E$9+1,1))</f>
        <v>178.42783874015521</v>
      </c>
      <c r="T52" s="62">
        <f t="shared" si="34"/>
        <v>140.03904900962556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1.0490253795571138</v>
      </c>
      <c r="AB52" s="23">
        <f>EXP(-LN(2)/2)*AB51+(1-EXP(-LN(2)/2))/(LN(2)/2)*V52*Y52*VLOOKUP('Données projet'!$B$9,Paramètres!$A$1:$I$89,3,0)*0.475*44/12</f>
        <v>9.4868682741963825E-4</v>
      </c>
      <c r="AC52" s="24">
        <f t="shared" si="3"/>
        <v>1.0499740663845334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14.1</v>
      </c>
      <c r="AI52" s="14">
        <f>IF('Données projet'!$A$62&gt;35,AI51+AH52-AQ51,IF(A52&lt;'Données projet'!$A$62,$AF$205^A52,IF(A52='Données projet'!$A$62,'Données projet'!$B$62,AI51+AH52-AQ51)))</f>
        <v>300.90000000000009</v>
      </c>
      <c r="AJ52" s="14">
        <f>AI52*VLOOKUP('Données projet'!$B$10,Paramètres!$A$1:$I$89,3,0)*VLOOKUP('Données projet'!$B$10,Paramètres!$A$1:$I$89,5,0)</f>
        <v>179.93820000000005</v>
      </c>
      <c r="AK52" s="14">
        <f t="shared" si="35"/>
        <v>45.308436530386629</v>
      </c>
      <c r="AL52" s="22">
        <f t="shared" si="4"/>
        <v>392.30455862375675</v>
      </c>
      <c r="AM52" s="62">
        <f t="shared" si="5"/>
        <v>685.63789195709001</v>
      </c>
      <c r="AN52" s="62">
        <f ca="1">AVERAGE(OFFSET($AM$3,0,0,'Données projet'!$E$10+1,1))-AVERAGE(OFFSET($H$3,0,0,'Données projet'!$E$10+1,1))</f>
        <v>216.16876563248064</v>
      </c>
      <c r="AO52" s="62">
        <f t="shared" si="36"/>
        <v>137.55906339137317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1.3647693357059529</v>
      </c>
      <c r="AW52" s="23">
        <f>EXP(-LN(2)/2)*AW51+(1-EXP(-LN(2)/2))/(LN(2)/2)*AQ52*AT52*VLOOKUP('Données projet'!$B$10,Paramètres!$A$1:$I$89,3,0)*0.475*44/12</f>
        <v>6.0780619326770398E-3</v>
      </c>
      <c r="AX52" s="23">
        <f t="shared" si="6"/>
        <v>1.3708473976386299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5.8</v>
      </c>
      <c r="BD52" s="13">
        <f>IF('Données projet'!$A$88&gt;35,BD51+BC52-BL51,IF(A52&lt;'Données projet'!$A$88,$BA$205^A52,IF(A52='Données projet'!$A$88,'Données projet'!$B$88,BD51+BC52-BL51)))</f>
        <v>200.20000000000007</v>
      </c>
      <c r="BE52" s="14">
        <f>BD52*VLOOKUP('Données projet'!$B$11,Paramètres!$A$1:$I$89,3,0)*VLOOKUP('Données projet'!$B$11,Paramètres!$A$1:$I$89,5,0)</f>
        <v>131.17104000000006</v>
      </c>
      <c r="BF52" s="14">
        <f t="shared" si="37"/>
        <v>34.26681090448254</v>
      </c>
      <c r="BG52" s="22">
        <f t="shared" si="7"/>
        <v>288.1375903253072</v>
      </c>
      <c r="BH52" s="62">
        <f t="shared" si="8"/>
        <v>581.47092365864046</v>
      </c>
      <c r="BI52" s="62">
        <f ca="1">AVERAGE(OFFSET($BH$3,0,0,'Données projet'!$E$11+1,1))-AVERAGE(OFFSET($H$3,0,0,'Données projet'!$E$11+1,1))</f>
        <v>154.44480170404967</v>
      </c>
      <c r="BJ52" s="62">
        <f t="shared" si="38"/>
        <v>186.45728006007272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5.8</v>
      </c>
      <c r="BY52" s="13">
        <f>IF('Données projet'!$A$114&gt;35,BY51+BX52-CG51,IF(A52&lt;'Données projet'!$A$114,$BV$205^A52,IF(A52='Données projet'!$A$114,'Données projet'!$B$114,BY51+BX52-CG51)))</f>
        <v>200.20000000000007</v>
      </c>
      <c r="BZ52" s="14">
        <f>BY52*VLOOKUP('Données projet'!$B$12,Paramètres!$A$1:$I$89,3,0)*VLOOKUP('Données projet'!$B$12,Paramètres!$A$1:$I$89,5,0)</f>
        <v>131.17104000000006</v>
      </c>
      <c r="CA52" s="14">
        <f t="shared" si="39"/>
        <v>34.26681090448254</v>
      </c>
      <c r="CB52" s="22">
        <f t="shared" si="10"/>
        <v>288.1375903253072</v>
      </c>
      <c r="CC52" s="62">
        <f t="shared" si="11"/>
        <v>581.47092365864046</v>
      </c>
      <c r="CD52" s="62">
        <f ca="1">AVERAGE(OFFSET($CC$3,0,0,'Données projet'!$E$12+1,1))-AVERAGE(OFFSET($H$3,0,0,'Données projet'!$E$12+1,1))</f>
        <v>154.44480170404967</v>
      </c>
      <c r="CE52" s="62">
        <f t="shared" si="40"/>
        <v>186.45728006007272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9">
        <f t="shared" si="1"/>
        <v>355.79195864038502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286</v>
      </c>
      <c r="L53" s="13">
        <f>VLOOKUP(A53,'Données projet'!$A$35:$I$55,9,0)</f>
        <v>11.6</v>
      </c>
      <c r="M53" s="13">
        <f t="array" ref="M53">INDEX(L:L,MIN(IF(ISNUMBER(L53:L249),ROW(L53:L249),"")))</f>
        <v>11.6</v>
      </c>
      <c r="N53" s="14">
        <f>IF('Données projet'!$A$36&gt;35,N52+M53-V52,IF(A53&lt;'Données projet'!$A$36,$K$205^A53,IF(A53='Données projet'!$A$36,'Données projet'!$B$36,N52+M53-V52)))</f>
        <v>286.00000000000011</v>
      </c>
      <c r="O53" s="14">
        <f>N53*VLOOKUP('Données projet'!$B$9,Paramètres!$A$1:$I$89,3,0)*VLOOKUP('Données projet'!$B$9,Paramètres!$A$1:$I$89,5,0)</f>
        <v>163.59200000000007</v>
      </c>
      <c r="P53" s="14">
        <f t="shared" si="33"/>
        <v>41.651651192923794</v>
      </c>
      <c r="Q53" s="22">
        <f t="shared" si="53"/>
        <v>357.46602582767576</v>
      </c>
      <c r="R53" s="62">
        <f t="shared" si="0"/>
        <v>650.79935916100908</v>
      </c>
      <c r="S53" s="62">
        <f ca="1">AVERAGE(OFFSET($R$3,0,0,'Données projet'!$E$9+1,1))-AVERAGE(OFFSET($H$3,0,0,'Données projet'!$E$9+1,1))</f>
        <v>178.42783874015521</v>
      </c>
      <c r="T53" s="62">
        <f t="shared" si="34"/>
        <v>140.03904900962556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65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1.0203397253872775</v>
      </c>
      <c r="AB53" s="23">
        <f>EXP(-LN(2)/2)*AB52+(1-EXP(-LN(2)/2))/(LN(2)/2)*V53*Y53*VLOOKUP('Données projet'!$B$9,Paramètres!$A$1:$I$89,3,0)*0.475*44/12</f>
        <v>6.7082288889077821E-4</v>
      </c>
      <c r="AC53" s="24">
        <f t="shared" si="3"/>
        <v>1.0210105482761682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315</v>
      </c>
      <c r="AG53" s="13">
        <f>VLOOKUP(A53,'Données projet'!$A$61:$I$81,9,0)</f>
        <v>14.1</v>
      </c>
      <c r="AH53" s="13">
        <f t="array" ref="AH53">INDEX(AG:AG,MIN(IF(ISNUMBER(AG53:AG249),ROW(AG53:AG249),"")))</f>
        <v>14.1</v>
      </c>
      <c r="AI53" s="14">
        <f>IF('Données projet'!$A$62&gt;35,AI52+AH53-AQ52,IF(A53&lt;'Données projet'!$A$62,$AF$205^A53,IF(A53='Données projet'!$A$62,'Données projet'!$B$62,AI52+AH53-AQ52)))</f>
        <v>315.00000000000011</v>
      </c>
      <c r="AJ53" s="14">
        <f>AI53*VLOOKUP('Données projet'!$B$10,Paramètres!$A$1:$I$89,3,0)*VLOOKUP('Données projet'!$B$10,Paramètres!$A$1:$I$89,5,0)</f>
        <v>188.37000000000009</v>
      </c>
      <c r="AK53" s="14">
        <f t="shared" si="35"/>
        <v>47.179402486491341</v>
      </c>
      <c r="AL53" s="22">
        <f t="shared" si="4"/>
        <v>410.24854266397256</v>
      </c>
      <c r="AM53" s="62">
        <f t="shared" si="5"/>
        <v>703.58187599730581</v>
      </c>
      <c r="AN53" s="62">
        <f ca="1">AVERAGE(OFFSET($AM$3,0,0,'Données projet'!$E$10+1,1))-AVERAGE(OFFSET($H$3,0,0,'Données projet'!$E$10+1,1))</f>
        <v>216.16876563248064</v>
      </c>
      <c r="AO53" s="62">
        <f t="shared" si="36"/>
        <v>137.55906339137317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79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1.3274496464509735</v>
      </c>
      <c r="AW53" s="23">
        <f>EXP(-LN(2)/2)*AW52+(1-EXP(-LN(2)/2))/(LN(2)/2)*AQ53*AT53*VLOOKUP('Données projet'!$B$10,Paramètres!$A$1:$I$89,3,0)*0.475*44/12</f>
        <v>4.2978388090677477E-3</v>
      </c>
      <c r="AX53" s="23">
        <f t="shared" si="6"/>
        <v>1.3317474852600413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206</v>
      </c>
      <c r="BB53" s="13">
        <f>VLOOKUP(A53,'Données projet'!$A$87:$I$107,9,0)</f>
        <v>5.8</v>
      </c>
      <c r="BC53" s="13">
        <f t="array" ref="BC53">INDEX(BB:BB,MIN(IF(ISNUMBER(BB53:BB249),ROW(BB53:BB249),"")))</f>
        <v>5.8</v>
      </c>
      <c r="BD53" s="13">
        <f>IF('Données projet'!$A$88&gt;35,BD52+BC53-BL52,IF(A53&lt;'Données projet'!$A$88,$BA$205^A53,IF(A53='Données projet'!$A$88,'Données projet'!$B$88,BD52+BC53-BL52)))</f>
        <v>206.00000000000009</v>
      </c>
      <c r="BE53" s="14">
        <f>BD53*VLOOKUP('Données projet'!$B$11,Paramètres!$A$1:$I$89,3,0)*VLOOKUP('Données projet'!$B$11,Paramètres!$A$1:$I$89,5,0)</f>
        <v>134.97120000000007</v>
      </c>
      <c r="BF53" s="14">
        <f t="shared" si="37"/>
        <v>35.142536849088692</v>
      </c>
      <c r="BG53" s="22">
        <f t="shared" si="7"/>
        <v>296.28142501216286</v>
      </c>
      <c r="BH53" s="62">
        <f t="shared" si="8"/>
        <v>589.61475834549617</v>
      </c>
      <c r="BI53" s="62">
        <f ca="1">AVERAGE(OFFSET($BH$3,0,0,'Données projet'!$E$11+1,1))-AVERAGE(OFFSET($H$3,0,0,'Données projet'!$E$11+1,1))</f>
        <v>154.44480170404967</v>
      </c>
      <c r="BJ53" s="62">
        <f t="shared" si="38"/>
        <v>186.45728006007272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206</v>
      </c>
      <c r="BW53" s="13">
        <f>VLOOKUP(A53,'Données projet'!$A$113:$I$133,9,0)</f>
        <v>5.8</v>
      </c>
      <c r="BX53" s="13">
        <f t="array" ref="BX53">INDEX(BW:BW,MIN(IF(ISNUMBER(BW53:BW249),ROW(BW53:BW249),"")))</f>
        <v>5.8</v>
      </c>
      <c r="BY53" s="13">
        <f>IF('Données projet'!$A$114&gt;35,BY52+BX53-CG52,IF(A53&lt;'Données projet'!$A$114,$BV$205^A53,IF(A53='Données projet'!$A$114,'Données projet'!$B$114,BY52+BX53-CG52)))</f>
        <v>206.00000000000009</v>
      </c>
      <c r="BZ53" s="14">
        <f>BY53*VLOOKUP('Données projet'!$B$12,Paramètres!$A$1:$I$89,3,0)*VLOOKUP('Données projet'!$B$12,Paramètres!$A$1:$I$89,5,0)</f>
        <v>134.97120000000007</v>
      </c>
      <c r="CA53" s="14">
        <f t="shared" si="39"/>
        <v>35.142536849088692</v>
      </c>
      <c r="CB53" s="22">
        <f t="shared" si="10"/>
        <v>296.28142501216286</v>
      </c>
      <c r="CC53" s="62">
        <f t="shared" si="11"/>
        <v>589.61475834549617</v>
      </c>
      <c r="CD53" s="62">
        <f ca="1">AVERAGE(OFFSET($CC$3,0,0,'Données projet'!$E$12+1,1))-AVERAGE(OFFSET($H$3,0,0,'Données projet'!$E$12+1,1))</f>
        <v>154.44480170404967</v>
      </c>
      <c r="CE53" s="62">
        <f t="shared" si="40"/>
        <v>186.45728006007272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9">
        <f t="shared" si="1"/>
        <v>357.00611358085365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10.8</v>
      </c>
      <c r="N54" s="14">
        <f>IF('Données projet'!$A$36&gt;35,N53+M54-V53,IF(A54&lt;'Données projet'!$A$36,$K$205^A54,IF(A54='Données projet'!$A$36,'Données projet'!$B$36,N53+M54-V53)))</f>
        <v>231.80000000000013</v>
      </c>
      <c r="O54" s="14">
        <f>N54*VLOOKUP('Données projet'!$B$9,Paramètres!$A$1:$I$89,3,0)*VLOOKUP('Données projet'!$B$9,Paramètres!$A$1:$I$89,5,0)</f>
        <v>132.58960000000008</v>
      </c>
      <c r="P54" s="14">
        <f t="shared" si="33"/>
        <v>34.594051219951538</v>
      </c>
      <c r="Q54" s="22">
        <f t="shared" si="53"/>
        <v>291.17819254141574</v>
      </c>
      <c r="R54" s="62">
        <f t="shared" si="0"/>
        <v>584.51152587474905</v>
      </c>
      <c r="S54" s="62">
        <f ca="1">AVERAGE(OFFSET($R$3,0,0,'Données projet'!$E$9+1,1))-AVERAGE(OFFSET($H$3,0,0,'Données projet'!$E$9+1,1))</f>
        <v>178.42783874015521</v>
      </c>
      <c r="T54" s="62">
        <f t="shared" si="34"/>
        <v>140.03904900962556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0.99243848193922823</v>
      </c>
      <c r="AB54" s="23">
        <f>EXP(-LN(2)/2)*AB53+(1-EXP(-LN(2)/2))/(LN(2)/2)*V54*Y54*VLOOKUP('Données projet'!$B$9,Paramètres!$A$1:$I$89,3,0)*0.475*44/12</f>
        <v>4.7434341370981923E-4</v>
      </c>
      <c r="AC54" s="24">
        <f t="shared" si="3"/>
        <v>0.99291282535293801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15.7</v>
      </c>
      <c r="AI54" s="14">
        <f>IF('Données projet'!$A$62&gt;35,AI53+AH54-AQ53,IF(A54&lt;'Données projet'!$A$62,$AF$205^A54,IF(A54='Données projet'!$A$62,'Données projet'!$B$62,AI53+AH54-AQ53)))</f>
        <v>251.7000000000001</v>
      </c>
      <c r="AJ54" s="14">
        <f>AI54*VLOOKUP('Données projet'!$B$10,Paramètres!$A$1:$I$89,3,0)*VLOOKUP('Données projet'!$B$10,Paramètres!$A$1:$I$89,5,0)</f>
        <v>150.51660000000007</v>
      </c>
      <c r="AK54" s="14">
        <f t="shared" si="35"/>
        <v>38.695961323116059</v>
      </c>
      <c r="AL54" s="22">
        <f t="shared" si="4"/>
        <v>329.54521097109392</v>
      </c>
      <c r="AM54" s="62">
        <f t="shared" si="5"/>
        <v>622.87854430442724</v>
      </c>
      <c r="AN54" s="62">
        <f ca="1">AVERAGE(OFFSET($AM$3,0,0,'Données projet'!$E$10+1,1))-AVERAGE(OFFSET($H$3,0,0,'Données projet'!$E$10+1,1))</f>
        <v>216.16876563248064</v>
      </c>
      <c r="AO54" s="62">
        <f t="shared" si="36"/>
        <v>137.55906339137317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1.2911504660612287</v>
      </c>
      <c r="AW54" s="23">
        <f>EXP(-LN(2)/2)*AW53+(1-EXP(-LN(2)/2))/(LN(2)/2)*AQ54*AT54*VLOOKUP('Données projet'!$B$10,Paramètres!$A$1:$I$89,3,0)*0.475*44/12</f>
        <v>3.0390309663385199E-3</v>
      </c>
      <c r="AX54" s="23">
        <f t="shared" si="6"/>
        <v>1.2941894970275674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168.60000000000008</v>
      </c>
      <c r="BE54" s="14">
        <f>BD54*VLOOKUP('Données projet'!$B$11,Paramètres!$A$1:$I$89,3,0)*VLOOKUP('Données projet'!$B$11,Paramètres!$A$1:$I$89,5,0)</f>
        <v>110.46672000000004</v>
      </c>
      <c r="BF54" s="14">
        <f t="shared" si="37"/>
        <v>29.440920333682921</v>
      </c>
      <c r="BG54" s="22">
        <f t="shared" si="7"/>
        <v>243.6724735811645</v>
      </c>
      <c r="BH54" s="62">
        <f t="shared" si="8"/>
        <v>537.00580691449784</v>
      </c>
      <c r="BI54" s="62">
        <f ca="1">AVERAGE(OFFSET($BH$3,0,0,'Données projet'!$E$11+1,1))-AVERAGE(OFFSET($H$3,0,0,'Données projet'!$E$11+1,1))</f>
        <v>154.44480170404967</v>
      </c>
      <c r="BJ54" s="62">
        <f t="shared" si="38"/>
        <v>186.45728006007272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168.60000000000008</v>
      </c>
      <c r="BZ54" s="14">
        <f>BY54*VLOOKUP('Données projet'!$B$12,Paramètres!$A$1:$I$89,3,0)*VLOOKUP('Données projet'!$B$12,Paramètres!$A$1:$I$89,5,0)</f>
        <v>110.46672000000004</v>
      </c>
      <c r="CA54" s="14">
        <f t="shared" si="39"/>
        <v>29.440920333682921</v>
      </c>
      <c r="CB54" s="22">
        <f t="shared" si="10"/>
        <v>243.6724735811645</v>
      </c>
      <c r="CC54" s="62">
        <f t="shared" si="11"/>
        <v>537.00580691449784</v>
      </c>
      <c r="CD54" s="62">
        <f ca="1">AVERAGE(OFFSET($CC$3,0,0,'Données projet'!$E$12+1,1))-AVERAGE(OFFSET($H$3,0,0,'Données projet'!$E$12+1,1))</f>
        <v>154.44480170404967</v>
      </c>
      <c r="CE54" s="62">
        <f t="shared" si="40"/>
        <v>186.45728006007272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9">
        <f t="shared" si="1"/>
        <v>358.21966843911872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10.8</v>
      </c>
      <c r="N55" s="14">
        <f>IF('Données projet'!$A$36&gt;35,N54+M55-V54,IF(A55&lt;'Données projet'!$A$36,$K$205^A55,IF(A55='Données projet'!$A$36,'Données projet'!$B$36,N54+M55-V54)))</f>
        <v>242.60000000000014</v>
      </c>
      <c r="O55" s="14">
        <f>N55*VLOOKUP('Données projet'!$B$9,Paramètres!$A$1:$I$89,3,0)*VLOOKUP('Données projet'!$B$9,Paramètres!$A$1:$I$89,5,0)</f>
        <v>138.76720000000009</v>
      </c>
      <c r="P55" s="14">
        <f t="shared" si="33"/>
        <v>36.014443113344079</v>
      </c>
      <c r="Q55" s="22">
        <f t="shared" si="53"/>
        <v>304.4113617557411</v>
      </c>
      <c r="R55" s="62">
        <f t="shared" si="0"/>
        <v>597.74469508907441</v>
      </c>
      <c r="S55" s="62">
        <f ca="1">AVERAGE(OFFSET($R$3,0,0,'Données projet'!$E$9+1,1))-AVERAGE(OFFSET($H$3,0,0,'Données projet'!$E$9+1,1))</f>
        <v>178.42783874015521</v>
      </c>
      <c r="T55" s="62">
        <f t="shared" si="34"/>
        <v>140.03904900962556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0.96530019946052847</v>
      </c>
      <c r="AB55" s="23">
        <f>EXP(-LN(2)/2)*AB54+(1-EXP(-LN(2)/2))/(LN(2)/2)*V55*Y55*VLOOKUP('Données projet'!$B$9,Paramètres!$A$1:$I$89,3,0)*0.475*44/12</f>
        <v>3.3541144444538916E-4</v>
      </c>
      <c r="AC55" s="24">
        <f t="shared" si="3"/>
        <v>0.96563561090497385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15.7</v>
      </c>
      <c r="AI55" s="14">
        <f>IF('Données projet'!$A$62&gt;35,AI54+AH55-AQ54,IF(A55&lt;'Données projet'!$A$62,$AF$205^A55,IF(A55='Données projet'!$A$62,'Données projet'!$B$62,AI54+AH55-AQ54)))</f>
        <v>267.40000000000009</v>
      </c>
      <c r="AJ55" s="14">
        <f>AI55*VLOOKUP('Données projet'!$B$10,Paramètres!$A$1:$I$89,3,0)*VLOOKUP('Données projet'!$B$10,Paramètres!$A$1:$I$89,5,0)</f>
        <v>159.90520000000006</v>
      </c>
      <c r="AK55" s="14">
        <f t="shared" si="35"/>
        <v>40.821132264574658</v>
      </c>
      <c r="AL55" s="22">
        <f t="shared" si="4"/>
        <v>349.59836202746766</v>
      </c>
      <c r="AM55" s="62">
        <f t="shared" si="5"/>
        <v>642.93169536080097</v>
      </c>
      <c r="AN55" s="62">
        <f ca="1">AVERAGE(OFFSET($AM$3,0,0,'Données projet'!$E$10+1,1))-AVERAGE(OFFSET($H$3,0,0,'Données projet'!$E$10+1,1))</f>
        <v>216.16876563248064</v>
      </c>
      <c r="AO55" s="62">
        <f t="shared" si="36"/>
        <v>137.55906339137317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1.2558438886681325</v>
      </c>
      <c r="AW55" s="23">
        <f>EXP(-LN(2)/2)*AW54+(1-EXP(-LN(2)/2))/(LN(2)/2)*AQ55*AT55*VLOOKUP('Données projet'!$B$10,Paramètres!$A$1:$I$89,3,0)*0.475*44/12</f>
        <v>2.1489194045338738E-3</v>
      </c>
      <c r="AX55" s="23">
        <f t="shared" si="6"/>
        <v>1.2579928080726663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174.20000000000007</v>
      </c>
      <c r="BE55" s="14">
        <f>BD55*VLOOKUP('Données projet'!$B$11,Paramètres!$A$1:$I$89,3,0)*VLOOKUP('Données projet'!$B$11,Paramètres!$A$1:$I$89,5,0)</f>
        <v>114.13584000000004</v>
      </c>
      <c r="BF55" s="14">
        <f t="shared" si="37"/>
        <v>30.303317693701107</v>
      </c>
      <c r="BG55" s="22">
        <f t="shared" si="7"/>
        <v>251.56486631652953</v>
      </c>
      <c r="BH55" s="62">
        <f t="shared" si="8"/>
        <v>544.89819964986282</v>
      </c>
      <c r="BI55" s="62">
        <f ca="1">AVERAGE(OFFSET($BH$3,0,0,'Données projet'!$E$11+1,1))-AVERAGE(OFFSET($H$3,0,0,'Données projet'!$E$11+1,1))</f>
        <v>154.44480170404967</v>
      </c>
      <c r="BJ55" s="62">
        <f t="shared" si="38"/>
        <v>186.45728006007272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174.20000000000007</v>
      </c>
      <c r="BZ55" s="14">
        <f>BY55*VLOOKUP('Données projet'!$B$12,Paramètres!$A$1:$I$89,3,0)*VLOOKUP('Données projet'!$B$12,Paramètres!$A$1:$I$89,5,0)</f>
        <v>114.13584000000004</v>
      </c>
      <c r="CA55" s="14">
        <f t="shared" si="39"/>
        <v>30.303317693701107</v>
      </c>
      <c r="CB55" s="22">
        <f t="shared" si="10"/>
        <v>251.56486631652953</v>
      </c>
      <c r="CC55" s="62">
        <f t="shared" si="11"/>
        <v>544.89819964986282</v>
      </c>
      <c r="CD55" s="62">
        <f ca="1">AVERAGE(OFFSET($CC$3,0,0,'Données projet'!$E$12+1,1))-AVERAGE(OFFSET($H$3,0,0,'Données projet'!$E$12+1,1))</f>
        <v>154.44480170404967</v>
      </c>
      <c r="CE55" s="62">
        <f t="shared" si="40"/>
        <v>186.45728006007272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9">
        <f t="shared" si="1"/>
        <v>359.43263608567548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10.8</v>
      </c>
      <c r="N56" s="14">
        <f>IF('Données projet'!$A$36&gt;35,N55+M56-V55,IF(A56&lt;'Données projet'!$A$36,$K$205^A56,IF(A56='Données projet'!$A$36,'Données projet'!$B$36,N55+M56-V55)))</f>
        <v>253.40000000000015</v>
      </c>
      <c r="O56" s="14">
        <f>N56*VLOOKUP('Données projet'!$B$9,Paramètres!$A$1:$I$89,3,0)*VLOOKUP('Données projet'!$B$9,Paramètres!$A$1:$I$89,5,0)</f>
        <v>144.9448000000001</v>
      </c>
      <c r="P56" s="14">
        <f t="shared" si="33"/>
        <v>37.427491205949785</v>
      </c>
      <c r="Q56" s="22">
        <f t="shared" si="53"/>
        <v>317.63174051702936</v>
      </c>
      <c r="R56" s="62">
        <f t="shared" si="0"/>
        <v>610.96507385036261</v>
      </c>
      <c r="S56" s="62">
        <f ca="1">AVERAGE(OFFSET($R$3,0,0,'Données projet'!$E$9+1,1))-AVERAGE(OFFSET($H$3,0,0,'Données projet'!$E$9+1,1))</f>
        <v>178.42783874015521</v>
      </c>
      <c r="T56" s="62">
        <f t="shared" si="34"/>
        <v>140.03904900962556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0.93890401474334906</v>
      </c>
      <c r="AB56" s="23">
        <f>EXP(-LN(2)/2)*AB55+(1-EXP(-LN(2)/2))/(LN(2)/2)*V56*Y56*VLOOKUP('Données projet'!$B$9,Paramètres!$A$1:$I$89,3,0)*0.475*44/12</f>
        <v>2.3717170685490964E-4</v>
      </c>
      <c r="AC56" s="24">
        <f t="shared" si="3"/>
        <v>0.93914118645020395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15.7</v>
      </c>
      <c r="AI56" s="14">
        <f>IF('Données projet'!$A$62&gt;35,AI55+AH56-AQ55,IF(A56&lt;'Données projet'!$A$62,$AF$205^A56,IF(A56='Données projet'!$A$62,'Données projet'!$B$62,AI55+AH56-AQ55)))</f>
        <v>283.10000000000008</v>
      </c>
      <c r="AJ56" s="14">
        <f>AI56*VLOOKUP('Données projet'!$B$10,Paramètres!$A$1:$I$89,3,0)*VLOOKUP('Données projet'!$B$10,Paramètres!$A$1:$I$89,5,0)</f>
        <v>169.29380000000009</v>
      </c>
      <c r="AK56" s="14">
        <f t="shared" si="35"/>
        <v>42.931819978697277</v>
      </c>
      <c r="AL56" s="22">
        <f t="shared" si="4"/>
        <v>369.6262881295645</v>
      </c>
      <c r="AM56" s="62">
        <f t="shared" si="5"/>
        <v>662.95962146289776</v>
      </c>
      <c r="AN56" s="62">
        <f ca="1">AVERAGE(OFFSET($AM$3,0,0,'Données projet'!$E$10+1,1))-AVERAGE(OFFSET($H$3,0,0,'Données projet'!$E$10+1,1))</f>
        <v>216.16876563248064</v>
      </c>
      <c r="AO56" s="62">
        <f t="shared" si="36"/>
        <v>137.55906339137317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1.2215027714905426</v>
      </c>
      <c r="AW56" s="23">
        <f>EXP(-LN(2)/2)*AW55+(1-EXP(-LN(2)/2))/(LN(2)/2)*AQ56*AT56*VLOOKUP('Données projet'!$B$10,Paramètres!$A$1:$I$89,3,0)*0.475*44/12</f>
        <v>1.51951548316926E-3</v>
      </c>
      <c r="AX56" s="23">
        <f t="shared" si="6"/>
        <v>1.223022286973712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179.80000000000007</v>
      </c>
      <c r="BE56" s="14">
        <f>BD56*VLOOKUP('Données projet'!$B$11,Paramètres!$A$1:$I$89,3,0)*VLOOKUP('Données projet'!$B$11,Paramètres!$A$1:$I$89,5,0)</f>
        <v>117.80496000000004</v>
      </c>
      <c r="BF56" s="14">
        <f t="shared" si="37"/>
        <v>31.162493487829593</v>
      </c>
      <c r="BG56" s="22">
        <f t="shared" si="7"/>
        <v>259.45164815796994</v>
      </c>
      <c r="BH56" s="62">
        <f t="shared" si="8"/>
        <v>552.78498149130326</v>
      </c>
      <c r="BI56" s="62">
        <f ca="1">AVERAGE(OFFSET($BH$3,0,0,'Données projet'!$E$11+1,1))-AVERAGE(OFFSET($H$3,0,0,'Données projet'!$E$11+1,1))</f>
        <v>154.44480170404967</v>
      </c>
      <c r="BJ56" s="62">
        <f t="shared" si="38"/>
        <v>186.45728006007272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179.80000000000007</v>
      </c>
      <c r="BZ56" s="14">
        <f>BY56*VLOOKUP('Données projet'!$B$12,Paramètres!$A$1:$I$89,3,0)*VLOOKUP('Données projet'!$B$12,Paramètres!$A$1:$I$89,5,0)</f>
        <v>117.80496000000004</v>
      </c>
      <c r="CA56" s="14">
        <f t="shared" si="39"/>
        <v>31.162493487829593</v>
      </c>
      <c r="CB56" s="22">
        <f t="shared" si="10"/>
        <v>259.45164815796994</v>
      </c>
      <c r="CC56" s="62">
        <f t="shared" si="11"/>
        <v>552.78498149130326</v>
      </c>
      <c r="CD56" s="62">
        <f ca="1">AVERAGE(OFFSET($CC$3,0,0,'Données projet'!$E$12+1,1))-AVERAGE(OFFSET($H$3,0,0,'Données projet'!$E$12+1,1))</f>
        <v>154.44480170404967</v>
      </c>
      <c r="CE56" s="62">
        <f t="shared" si="40"/>
        <v>186.45728006007272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9">
        <f t="shared" si="1"/>
        <v>360.64502887754611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10.8</v>
      </c>
      <c r="N57" s="14">
        <f>IF('Données projet'!$A$36&gt;35,N56+M57-V56,IF(A57&lt;'Données projet'!$A$36,$K$205^A57,IF(A57='Données projet'!$A$36,'Données projet'!$B$36,N56+M57-V56)))</f>
        <v>264.20000000000016</v>
      </c>
      <c r="O57" s="14">
        <f>N57*VLOOKUP('Données projet'!$B$9,Paramètres!$A$1:$I$89,3,0)*VLOOKUP('Données projet'!$B$9,Paramètres!$A$1:$I$89,5,0)</f>
        <v>151.12240000000011</v>
      </c>
      <c r="P57" s="14">
        <f t="shared" si="33"/>
        <v>38.833544276032519</v>
      </c>
      <c r="Q57" s="22">
        <f t="shared" si="53"/>
        <v>330.83993628075677</v>
      </c>
      <c r="R57" s="62">
        <f t="shared" si="0"/>
        <v>624.17326961409003</v>
      </c>
      <c r="S57" s="62">
        <f ca="1">AVERAGE(OFFSET($R$3,0,0,'Données projet'!$E$9+1,1))-AVERAGE(OFFSET($H$3,0,0,'Données projet'!$E$9+1,1))</f>
        <v>178.42783874015521</v>
      </c>
      <c r="T57" s="62">
        <f t="shared" si="34"/>
        <v>140.03904900962556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0.91322963508537591</v>
      </c>
      <c r="AB57" s="23">
        <f>EXP(-LN(2)/2)*AB56+(1-EXP(-LN(2)/2))/(LN(2)/2)*V57*Y57*VLOOKUP('Données projet'!$B$9,Paramètres!$A$1:$I$89,3,0)*0.475*44/12</f>
        <v>1.6770572222269461E-4</v>
      </c>
      <c r="AC57" s="24">
        <f t="shared" si="3"/>
        <v>0.9133973408075986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15.7</v>
      </c>
      <c r="AI57" s="14">
        <f>IF('Données projet'!$A$62&gt;35,AI56+AH57-AQ56,IF(A57&lt;'Données projet'!$A$62,$AF$205^A57,IF(A57='Données projet'!$A$62,'Données projet'!$B$62,AI56+AH57-AQ56)))</f>
        <v>298.80000000000007</v>
      </c>
      <c r="AJ57" s="14">
        <f>AI57*VLOOKUP('Données projet'!$B$10,Paramètres!$A$1:$I$89,3,0)*VLOOKUP('Données projet'!$B$10,Paramètres!$A$1:$I$89,5,0)</f>
        <v>178.68240000000006</v>
      </c>
      <c r="AK57" s="14">
        <f t="shared" si="35"/>
        <v>45.028919214980071</v>
      </c>
      <c r="AL57" s="22">
        <f t="shared" si="4"/>
        <v>389.63054763275704</v>
      </c>
      <c r="AM57" s="62">
        <f t="shared" si="5"/>
        <v>682.9638809660903</v>
      </c>
      <c r="AN57" s="62">
        <f ca="1">AVERAGE(OFFSET($AM$3,0,0,'Données projet'!$E$10+1,1))-AVERAGE(OFFSET($H$3,0,0,'Données projet'!$E$10+1,1))</f>
        <v>216.16876563248064</v>
      </c>
      <c r="AO57" s="62">
        <f t="shared" si="36"/>
        <v>137.55906339137317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1.1881007139680948</v>
      </c>
      <c r="AW57" s="23">
        <f>EXP(-LN(2)/2)*AW56+(1-EXP(-LN(2)/2))/(LN(2)/2)*AQ57*AT57*VLOOKUP('Données projet'!$B$10,Paramètres!$A$1:$I$89,3,0)*0.475*44/12</f>
        <v>1.0744597022669369E-3</v>
      </c>
      <c r="AX57" s="23">
        <f t="shared" si="6"/>
        <v>1.1891751736703617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185.40000000000006</v>
      </c>
      <c r="BE57" s="14">
        <f>BD57*VLOOKUP('Données projet'!$B$11,Paramètres!$A$1:$I$89,3,0)*VLOOKUP('Données projet'!$B$11,Paramètres!$A$1:$I$89,5,0)</f>
        <v>121.47408000000004</v>
      </c>
      <c r="BF57" s="14">
        <f t="shared" si="37"/>
        <v>32.018559567275666</v>
      </c>
      <c r="BG57" s="22">
        <f t="shared" si="7"/>
        <v>267.33301391300517</v>
      </c>
      <c r="BH57" s="62">
        <f t="shared" si="8"/>
        <v>560.66634724633855</v>
      </c>
      <c r="BI57" s="62">
        <f ca="1">AVERAGE(OFFSET($BH$3,0,0,'Données projet'!$E$11+1,1))-AVERAGE(OFFSET($H$3,0,0,'Données projet'!$E$11+1,1))</f>
        <v>154.44480170404967</v>
      </c>
      <c r="BJ57" s="62">
        <f t="shared" si="38"/>
        <v>186.45728006007272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185.40000000000006</v>
      </c>
      <c r="BZ57" s="14">
        <f>BY57*VLOOKUP('Données projet'!$B$12,Paramètres!$A$1:$I$89,3,0)*VLOOKUP('Données projet'!$B$12,Paramètres!$A$1:$I$89,5,0)</f>
        <v>121.47408000000004</v>
      </c>
      <c r="CA57" s="14">
        <f t="shared" si="39"/>
        <v>32.018559567275666</v>
      </c>
      <c r="CB57" s="22">
        <f t="shared" si="10"/>
        <v>267.33301391300517</v>
      </c>
      <c r="CC57" s="62">
        <f t="shared" si="11"/>
        <v>560.66634724633855</v>
      </c>
      <c r="CD57" s="62">
        <f ca="1">AVERAGE(OFFSET($CC$3,0,0,'Données projet'!$E$12+1,1))-AVERAGE(OFFSET($H$3,0,0,'Données projet'!$E$12+1,1))</f>
        <v>154.44480170404967</v>
      </c>
      <c r="CE57" s="62">
        <f t="shared" si="40"/>
        <v>186.45728006007272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9">
        <f t="shared" si="1"/>
        <v>361.85685868788795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10.8</v>
      </c>
      <c r="N58" s="14">
        <f>IF('Données projet'!$A$36&gt;35,N57+M58-V57,IF(A58&lt;'Données projet'!$A$36,$K$205^A58,IF(A58='Données projet'!$A$36,'Données projet'!$B$36,N57+M58-V57)))</f>
        <v>275.00000000000017</v>
      </c>
      <c r="O58" s="14">
        <f>N58*VLOOKUP('Données projet'!$B$9,Paramètres!$A$1:$I$89,3,0)*VLOOKUP('Données projet'!$B$9,Paramètres!$A$1:$I$89,5,0)</f>
        <v>157.3000000000001</v>
      </c>
      <c r="P58" s="14">
        <f t="shared" si="33"/>
        <v>40.232920973447101</v>
      </c>
      <c r="Q58" s="22">
        <f t="shared" si="53"/>
        <v>344.03650402875382</v>
      </c>
      <c r="R58" s="62">
        <f t="shared" si="0"/>
        <v>637.36983736208708</v>
      </c>
      <c r="S58" s="62">
        <f ca="1">AVERAGE(OFFSET($R$3,0,0,'Données projet'!$E$9+1,1))-AVERAGE(OFFSET($H$3,0,0,'Données projet'!$E$9+1,1))</f>
        <v>178.42783874015521</v>
      </c>
      <c r="T58" s="62">
        <f t="shared" si="34"/>
        <v>140.03904900962556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0.88825732268930702</v>
      </c>
      <c r="AB58" s="23">
        <f>EXP(-LN(2)/2)*AB57+(1-EXP(-LN(2)/2))/(LN(2)/2)*V58*Y58*VLOOKUP('Données projet'!$B$9,Paramètres!$A$1:$I$89,3,0)*0.475*44/12</f>
        <v>1.1858585342745485E-4</v>
      </c>
      <c r="AC58" s="24">
        <f t="shared" si="3"/>
        <v>0.88837590854273452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15.7</v>
      </c>
      <c r="AI58" s="14">
        <f>IF('Données projet'!$A$62&gt;35,AI57+AH58-AQ57,IF(A58&lt;'Données projet'!$A$62,$AF$205^A58,IF(A58='Données projet'!$A$62,'Données projet'!$B$62,AI57+AH58-AQ57)))</f>
        <v>314.50000000000006</v>
      </c>
      <c r="AJ58" s="14">
        <f>AI58*VLOOKUP('Données projet'!$B$10,Paramètres!$A$1:$I$89,3,0)*VLOOKUP('Données projet'!$B$10,Paramètres!$A$1:$I$89,5,0)</f>
        <v>188.07100000000005</v>
      </c>
      <c r="AK58" s="14">
        <f t="shared" si="35"/>
        <v>47.113225385753083</v>
      </c>
      <c r="AL58" s="22">
        <f t="shared" si="4"/>
        <v>409.61252588018669</v>
      </c>
      <c r="AM58" s="62">
        <f t="shared" si="5"/>
        <v>702.94585921351995</v>
      </c>
      <c r="AN58" s="62">
        <f ca="1">AVERAGE(OFFSET($AM$3,0,0,'Données projet'!$E$10+1,1))-AVERAGE(OFFSET($H$3,0,0,'Données projet'!$E$10+1,1))</f>
        <v>216.16876563248064</v>
      </c>
      <c r="AO58" s="62">
        <f t="shared" si="36"/>
        <v>137.55906339137317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1.1556120374651362</v>
      </c>
      <c r="AW58" s="23">
        <f>EXP(-LN(2)/2)*AW57+(1-EXP(-LN(2)/2))/(LN(2)/2)*AQ58*AT58*VLOOKUP('Données projet'!$B$10,Paramètres!$A$1:$I$89,3,0)*0.475*44/12</f>
        <v>7.5975774158462998E-4</v>
      </c>
      <c r="AX58" s="23">
        <f t="shared" si="6"/>
        <v>1.1563717952067207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191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191.00000000000006</v>
      </c>
      <c r="BE58" s="14">
        <f>BD58*VLOOKUP('Données projet'!$B$11,Paramètres!$A$1:$I$89,3,0)*VLOOKUP('Données projet'!$B$11,Paramètres!$A$1:$I$89,5,0)</f>
        <v>125.14320000000005</v>
      </c>
      <c r="BF58" s="14">
        <f t="shared" si="37"/>
        <v>32.871620642334356</v>
      </c>
      <c r="BG58" s="22">
        <f t="shared" si="7"/>
        <v>275.20914595206574</v>
      </c>
      <c r="BH58" s="62">
        <f t="shared" si="8"/>
        <v>568.54247928539905</v>
      </c>
      <c r="BI58" s="62">
        <f ca="1">AVERAGE(OFFSET($BH$3,0,0,'Données projet'!$E$11+1,1))-AVERAGE(OFFSET($H$3,0,0,'Données projet'!$E$11+1,1))</f>
        <v>154.44480170404967</v>
      </c>
      <c r="BJ58" s="62">
        <f t="shared" si="38"/>
        <v>186.45728006007272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191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191.00000000000006</v>
      </c>
      <c r="BZ58" s="14">
        <f>BY58*VLOOKUP('Données projet'!$B$12,Paramètres!$A$1:$I$89,3,0)*VLOOKUP('Données projet'!$B$12,Paramètres!$A$1:$I$89,5,0)</f>
        <v>125.14320000000005</v>
      </c>
      <c r="CA58" s="14">
        <f t="shared" si="39"/>
        <v>32.871620642334356</v>
      </c>
      <c r="CB58" s="22">
        <f t="shared" si="10"/>
        <v>275.20914595206574</v>
      </c>
      <c r="CC58" s="62">
        <f t="shared" si="11"/>
        <v>568.54247928539905</v>
      </c>
      <c r="CD58" s="62">
        <f ca="1">AVERAGE(OFFSET($CC$3,0,0,'Données projet'!$E$12+1,1))-AVERAGE(OFFSET($H$3,0,0,'Données projet'!$E$12+1,1))</f>
        <v>154.44480170404967</v>
      </c>
      <c r="CE58" s="62">
        <f t="shared" si="40"/>
        <v>186.45728006007272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9">
        <f t="shared" si="1"/>
        <v>363.068136933387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10.8</v>
      </c>
      <c r="N59" s="14">
        <f>IF('Données projet'!$A$36&gt;35,N58+M59-V58,IF(A59&lt;'Données projet'!$A$36,$K$205^A59,IF(A59='Données projet'!$A$36,'Données projet'!$B$36,N58+M59-V58)))</f>
        <v>285.80000000000018</v>
      </c>
      <c r="O59" s="14">
        <f>N59*VLOOKUP('Données projet'!$B$9,Paramètres!$A$1:$I$89,3,0)*VLOOKUP('Données projet'!$B$9,Paramètres!$A$1:$I$89,5,0)</f>
        <v>163.47760000000011</v>
      </c>
      <c r="P59" s="14">
        <f t="shared" si="33"/>
        <v>41.625913502534537</v>
      </c>
      <c r="Q59" s="22">
        <f t="shared" si="53"/>
        <v>357.22195268358115</v>
      </c>
      <c r="R59" s="62">
        <f t="shared" si="0"/>
        <v>650.55528601691447</v>
      </c>
      <c r="S59" s="62">
        <f ca="1">AVERAGE(OFFSET($R$3,0,0,'Données projet'!$E$9+1,1))-AVERAGE(OFFSET($H$3,0,0,'Données projet'!$E$9+1,1))</f>
        <v>178.42783874015521</v>
      </c>
      <c r="T59" s="62">
        <f t="shared" si="34"/>
        <v>140.03904900962556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0.86396787948894549</v>
      </c>
      <c r="AB59" s="23">
        <f>EXP(-LN(2)/2)*AB58+(1-EXP(-LN(2)/2))/(LN(2)/2)*V59*Y59*VLOOKUP('Données projet'!$B$9,Paramètres!$A$1:$I$89,3,0)*0.475*44/12</f>
        <v>8.3852861111347317E-5</v>
      </c>
      <c r="AC59" s="24">
        <f t="shared" si="3"/>
        <v>0.86405173235005683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15.7</v>
      </c>
      <c r="AI59" s="14">
        <f>IF('Données projet'!$A$62&gt;35,AI58+AH59-AQ58,IF(A59&lt;'Données projet'!$A$62,$AF$205^A59,IF(A59='Données projet'!$A$62,'Données projet'!$B$62,AI58+AH59-AQ58)))</f>
        <v>330.20000000000005</v>
      </c>
      <c r="AJ59" s="14">
        <f>AI59*VLOOKUP('Données projet'!$B$10,Paramètres!$A$1:$I$89,3,0)*VLOOKUP('Données projet'!$B$10,Paramètres!$A$1:$I$89,5,0)</f>
        <v>197.45960000000005</v>
      </c>
      <c r="AK59" s="14">
        <f t="shared" si="35"/>
        <v>49.185450002435452</v>
      </c>
      <c r="AL59" s="22">
        <f t="shared" si="4"/>
        <v>429.57346208757514</v>
      </c>
      <c r="AM59" s="62">
        <f t="shared" si="5"/>
        <v>722.90679542090845</v>
      </c>
      <c r="AN59" s="62">
        <f ca="1">AVERAGE(OFFSET($AM$3,0,0,'Données projet'!$E$10+1,1))-AVERAGE(OFFSET($H$3,0,0,'Données projet'!$E$10+1,1))</f>
        <v>216.16876563248064</v>
      </c>
      <c r="AO59" s="62">
        <f t="shared" si="36"/>
        <v>137.55906339137317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1.1240117655296562</v>
      </c>
      <c r="AW59" s="23">
        <f>EXP(-LN(2)/2)*AW58+(1-EXP(-LN(2)/2))/(LN(2)/2)*AQ59*AT59*VLOOKUP('Données projet'!$B$10,Paramètres!$A$1:$I$89,3,0)*0.475*44/12</f>
        <v>5.3722985113346846E-4</v>
      </c>
      <c r="AX59" s="23">
        <f t="shared" si="6"/>
        <v>1.1245489953807897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</v>
      </c>
      <c r="BD59" s="13">
        <f>IF('Données projet'!$A$88&gt;35,BD58+BC59-BL58,IF(A59&lt;'Données projet'!$A$88,$BA$205^A59,IF(A59='Données projet'!$A$88,'Données projet'!$B$88,BD58+BC59-BL58)))</f>
        <v>196.00000000000006</v>
      </c>
      <c r="BE59" s="14">
        <f>BD59*VLOOKUP('Données projet'!$B$11,Paramètres!$A$1:$I$89,3,0)*VLOOKUP('Données projet'!$B$11,Paramètres!$A$1:$I$89,5,0)</f>
        <v>128.41920000000005</v>
      </c>
      <c r="BF59" s="14">
        <f t="shared" si="37"/>
        <v>33.630823177860762</v>
      </c>
      <c r="BG59" s="22">
        <f t="shared" si="7"/>
        <v>282.23712370144091</v>
      </c>
      <c r="BH59" s="62">
        <f t="shared" si="8"/>
        <v>575.57045703477422</v>
      </c>
      <c r="BI59" s="62">
        <f ca="1">AVERAGE(OFFSET($BH$3,0,0,'Données projet'!$E$11+1,1))-AVERAGE(OFFSET($H$3,0,0,'Données projet'!$E$11+1,1))</f>
        <v>154.44480170404967</v>
      </c>
      <c r="BJ59" s="62">
        <f t="shared" si="38"/>
        <v>186.45728006007272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</v>
      </c>
      <c r="BY59" s="13">
        <f>IF('Données projet'!$A$114&gt;35,BY58+BX59-CG58,IF(A59&lt;'Données projet'!$A$114,$BV$205^A59,IF(A59='Données projet'!$A$114,'Données projet'!$B$114,BY58+BX59-CG58)))</f>
        <v>196.00000000000006</v>
      </c>
      <c r="BZ59" s="14">
        <f>BY59*VLOOKUP('Données projet'!$B$12,Paramètres!$A$1:$I$89,3,0)*VLOOKUP('Données projet'!$B$12,Paramètres!$A$1:$I$89,5,0)</f>
        <v>128.41920000000005</v>
      </c>
      <c r="CA59" s="14">
        <f t="shared" si="39"/>
        <v>33.630823177860762</v>
      </c>
      <c r="CB59" s="22">
        <f t="shared" si="10"/>
        <v>282.23712370144091</v>
      </c>
      <c r="CC59" s="62">
        <f t="shared" si="11"/>
        <v>575.57045703477422</v>
      </c>
      <c r="CD59" s="62">
        <f ca="1">AVERAGE(OFFSET($CC$3,0,0,'Données projet'!$E$12+1,1))-AVERAGE(OFFSET($H$3,0,0,'Données projet'!$E$12+1,1))</f>
        <v>154.44480170404967</v>
      </c>
      <c r="CE59" s="62">
        <f t="shared" si="40"/>
        <v>186.45728006007272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9">
        <f t="shared" si="1"/>
        <v>364.27887459963966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10.8</v>
      </c>
      <c r="N60" s="14">
        <f>IF('Données projet'!$A$36&gt;35,N59+M60-V59,IF(A60&lt;'Données projet'!$A$36,$K$205^A60,IF(A60='Données projet'!$A$36,'Données projet'!$B$36,N59+M60-V59)))</f>
        <v>296.60000000000019</v>
      </c>
      <c r="O60" s="14">
        <f>N60*VLOOKUP('Données projet'!$B$9,Paramètres!$A$1:$I$89,3,0)*VLOOKUP('Données projet'!$B$9,Paramètres!$A$1:$I$89,5,0)</f>
        <v>169.65520000000009</v>
      </c>
      <c r="P60" s="14">
        <f t="shared" si="33"/>
        <v>43.012790732676081</v>
      </c>
      <c r="Q60" s="22">
        <f t="shared" si="53"/>
        <v>370.39675052607771</v>
      </c>
      <c r="R60" s="62">
        <f t="shared" si="0"/>
        <v>663.73008385941102</v>
      </c>
      <c r="S60" s="62">
        <f ca="1">AVERAGE(OFFSET($R$3,0,0,'Données projet'!$E$9+1,1))-AVERAGE(OFFSET($H$3,0,0,'Données projet'!$E$9+1,1))</f>
        <v>178.42783874015521</v>
      </c>
      <c r="T60" s="62">
        <f t="shared" si="34"/>
        <v>140.03904900962556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0.84034263239022411</v>
      </c>
      <c r="AB60" s="23">
        <f>EXP(-LN(2)/2)*AB59+(1-EXP(-LN(2)/2))/(LN(2)/2)*V60*Y60*VLOOKUP('Données projet'!$B$9,Paramètres!$A$1:$I$89,3,0)*0.475*44/12</f>
        <v>5.9292926713727431E-5</v>
      </c>
      <c r="AC60" s="24">
        <f t="shared" si="3"/>
        <v>0.8404019253169378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15.7</v>
      </c>
      <c r="AI60" s="14">
        <f>IF('Données projet'!$A$62&gt;35,AI59+AH60-AQ59,IF(A60&lt;'Données projet'!$A$62,$AF$205^A60,IF(A60='Données projet'!$A$62,'Données projet'!$B$62,AI59+AH60-AQ59)))</f>
        <v>345.90000000000003</v>
      </c>
      <c r="AJ60" s="14">
        <f>AI60*VLOOKUP('Données projet'!$B$10,Paramètres!$A$1:$I$89,3,0)*VLOOKUP('Données projet'!$B$10,Paramètres!$A$1:$I$89,5,0)</f>
        <v>206.84820000000005</v>
      </c>
      <c r="AK60" s="14">
        <f t="shared" si="35"/>
        <v>51.246233092829954</v>
      </c>
      <c r="AL60" s="22">
        <f t="shared" si="4"/>
        <v>449.51447097001227</v>
      </c>
      <c r="AM60" s="62">
        <f t="shared" si="5"/>
        <v>742.84780430334558</v>
      </c>
      <c r="AN60" s="62">
        <f ca="1">AVERAGE(OFFSET($AM$3,0,0,'Données projet'!$E$10+1,1))-AVERAGE(OFFSET($H$3,0,0,'Données projet'!$E$10+1,1))</f>
        <v>216.16876563248064</v>
      </c>
      <c r="AO60" s="62">
        <f t="shared" si="36"/>
        <v>137.55906339137317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1.093275604692038</v>
      </c>
      <c r="AW60" s="23">
        <f>EXP(-LN(2)/2)*AW59+(1-EXP(-LN(2)/2))/(LN(2)/2)*AQ60*AT60*VLOOKUP('Données projet'!$B$10,Paramètres!$A$1:$I$89,3,0)*0.475*44/12</f>
        <v>3.7987887079231499E-4</v>
      </c>
      <c r="AX60" s="23">
        <f t="shared" si="6"/>
        <v>1.0936554835628303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</v>
      </c>
      <c r="BD60" s="13">
        <f>IF('Données projet'!$A$88&gt;35,BD59+BC60-BL59,IF(A60&lt;'Données projet'!$A$88,$BA$205^A60,IF(A60='Données projet'!$A$88,'Données projet'!$B$88,BD59+BC60-BL59)))</f>
        <v>201.00000000000006</v>
      </c>
      <c r="BE60" s="14">
        <f>BD60*VLOOKUP('Données projet'!$B$11,Paramètres!$A$1:$I$89,3,0)*VLOOKUP('Données projet'!$B$11,Paramètres!$A$1:$I$89,5,0)</f>
        <v>131.69520000000003</v>
      </c>
      <c r="BF60" s="14">
        <f t="shared" si="37"/>
        <v>34.387774432362271</v>
      </c>
      <c r="BG60" s="22">
        <f t="shared" si="7"/>
        <v>289.26118046969765</v>
      </c>
      <c r="BH60" s="62">
        <f t="shared" si="8"/>
        <v>582.59451380303096</v>
      </c>
      <c r="BI60" s="62">
        <f ca="1">AVERAGE(OFFSET($BH$3,0,0,'Données projet'!$E$11+1,1))-AVERAGE(OFFSET($H$3,0,0,'Données projet'!$E$11+1,1))</f>
        <v>154.44480170404967</v>
      </c>
      <c r="BJ60" s="62">
        <f t="shared" si="38"/>
        <v>186.45728006007272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</v>
      </c>
      <c r="BY60" s="13">
        <f>IF('Données projet'!$A$114&gt;35,BY59+BX60-CG59,IF(A60&lt;'Données projet'!$A$114,$BV$205^A60,IF(A60='Données projet'!$A$114,'Données projet'!$B$114,BY59+BX60-CG59)))</f>
        <v>201.00000000000006</v>
      </c>
      <c r="BZ60" s="14">
        <f>BY60*VLOOKUP('Données projet'!$B$12,Paramètres!$A$1:$I$89,3,0)*VLOOKUP('Données projet'!$B$12,Paramètres!$A$1:$I$89,5,0)</f>
        <v>131.69520000000003</v>
      </c>
      <c r="CA60" s="14">
        <f t="shared" si="39"/>
        <v>34.387774432362271</v>
      </c>
      <c r="CB60" s="22">
        <f t="shared" si="10"/>
        <v>289.26118046969765</v>
      </c>
      <c r="CC60" s="62">
        <f t="shared" si="11"/>
        <v>582.59451380303096</v>
      </c>
      <c r="CD60" s="62">
        <f ca="1">AVERAGE(OFFSET($CC$3,0,0,'Données projet'!$E$12+1,1))-AVERAGE(OFFSET($H$3,0,0,'Données projet'!$E$12+1,1))</f>
        <v>154.44480170404967</v>
      </c>
      <c r="CE60" s="62">
        <f t="shared" si="40"/>
        <v>186.45728006007272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9">
        <f t="shared" si="1"/>
        <v>365.48908226470269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10.8</v>
      </c>
      <c r="N61" s="14">
        <f>IF('Données projet'!$A$36&gt;35,N60+M61-V60,IF(A61&lt;'Données projet'!$A$36,$K$205^A61,IF(A61='Données projet'!$A$36,'Données projet'!$B$36,N60+M61-V60)))</f>
        <v>307.4000000000002</v>
      </c>
      <c r="O61" s="14">
        <f>N61*VLOOKUP('Données projet'!$B$9,Paramètres!$A$1:$I$89,3,0)*VLOOKUP('Données projet'!$B$9,Paramètres!$A$1:$I$89,5,0)</f>
        <v>175.83280000000011</v>
      </c>
      <c r="P61" s="14">
        <f t="shared" si="33"/>
        <v>44.393800843059971</v>
      </c>
      <c r="Q61" s="22">
        <f t="shared" si="53"/>
        <v>383.56132980166291</v>
      </c>
      <c r="R61" s="62">
        <f t="shared" si="0"/>
        <v>676.89466313499622</v>
      </c>
      <c r="S61" s="62">
        <f ca="1">AVERAGE(OFFSET($R$3,0,0,'Données projet'!$E$9+1,1))-AVERAGE(OFFSET($H$3,0,0,'Données projet'!$E$9+1,1))</f>
        <v>178.42783874015521</v>
      </c>
      <c r="T61" s="62">
        <f t="shared" si="34"/>
        <v>140.03904900962556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0.81736341891581499</v>
      </c>
      <c r="AB61" s="23">
        <f>EXP(-LN(2)/2)*AB60+(1-EXP(-LN(2)/2))/(LN(2)/2)*V61*Y61*VLOOKUP('Données projet'!$B$9,Paramètres!$A$1:$I$89,3,0)*0.475*44/12</f>
        <v>4.1926430555673665E-5</v>
      </c>
      <c r="AC61" s="24">
        <f t="shared" si="3"/>
        <v>0.81740534534637066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15.7</v>
      </c>
      <c r="AI61" s="14">
        <f>IF('Données projet'!$A$62&gt;35,AI60+AH61-AQ60,IF(A61&lt;'Données projet'!$A$62,$AF$205^A61,IF(A61='Données projet'!$A$62,'Données projet'!$B$62,AI60+AH61-AQ60)))</f>
        <v>361.6</v>
      </c>
      <c r="AJ61" s="14">
        <f>AI61*VLOOKUP('Données projet'!$B$10,Paramètres!$A$1:$I$89,3,0)*VLOOKUP('Données projet'!$B$10,Paramètres!$A$1:$I$89,5,0)</f>
        <v>216.23680000000002</v>
      </c>
      <c r="AK61" s="14">
        <f t="shared" si="35"/>
        <v>53.296153300267918</v>
      </c>
      <c r="AL61" s="22">
        <f t="shared" si="4"/>
        <v>469.43656033129997</v>
      </c>
      <c r="AM61" s="62">
        <f t="shared" si="5"/>
        <v>762.76989366463329</v>
      </c>
      <c r="AN61" s="62">
        <f ca="1">AVERAGE(OFFSET($AM$3,0,0,'Données projet'!$E$10+1,1))-AVERAGE(OFFSET($H$3,0,0,'Données projet'!$E$10+1,1))</f>
        <v>216.16876563248064</v>
      </c>
      <c r="AO61" s="62">
        <f t="shared" si="36"/>
        <v>137.55906339137317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1.063379925788869</v>
      </c>
      <c r="AW61" s="23">
        <f>EXP(-LN(2)/2)*AW60+(1-EXP(-LN(2)/2))/(LN(2)/2)*AQ61*AT61*VLOOKUP('Données projet'!$B$10,Paramètres!$A$1:$I$89,3,0)*0.475*44/12</f>
        <v>2.6861492556673423E-4</v>
      </c>
      <c r="AX61" s="23">
        <f t="shared" si="6"/>
        <v>1.0636485407144356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</v>
      </c>
      <c r="BD61" s="13">
        <f>IF('Données projet'!$A$88&gt;35,BD60+BC61-BL60,IF(A61&lt;'Données projet'!$A$88,$BA$205^A61,IF(A61='Données projet'!$A$88,'Données projet'!$B$88,BD60+BC61-BL60)))</f>
        <v>206.00000000000006</v>
      </c>
      <c r="BE61" s="14">
        <f>BD61*VLOOKUP('Données projet'!$B$11,Paramètres!$A$1:$I$89,3,0)*VLOOKUP('Données projet'!$B$11,Paramètres!$A$1:$I$89,5,0)</f>
        <v>134.97120000000004</v>
      </c>
      <c r="BF61" s="14">
        <f t="shared" si="37"/>
        <v>35.142536849088657</v>
      </c>
      <c r="BG61" s="22">
        <f t="shared" si="7"/>
        <v>296.2814250121628</v>
      </c>
      <c r="BH61" s="62">
        <f t="shared" si="8"/>
        <v>589.61475834549606</v>
      </c>
      <c r="BI61" s="62">
        <f ca="1">AVERAGE(OFFSET($BH$3,0,0,'Données projet'!$E$11+1,1))-AVERAGE(OFFSET($H$3,0,0,'Données projet'!$E$11+1,1))</f>
        <v>154.44480170404967</v>
      </c>
      <c r="BJ61" s="62">
        <f t="shared" si="38"/>
        <v>186.45728006007272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</v>
      </c>
      <c r="BY61" s="13">
        <f>IF('Données projet'!$A$114&gt;35,BY60+BX61-CG60,IF(A61&lt;'Données projet'!$A$114,$BV$205^A61,IF(A61='Données projet'!$A$114,'Données projet'!$B$114,BY60+BX61-CG60)))</f>
        <v>206.00000000000006</v>
      </c>
      <c r="BZ61" s="14">
        <f>BY61*VLOOKUP('Données projet'!$B$12,Paramètres!$A$1:$I$89,3,0)*VLOOKUP('Données projet'!$B$12,Paramètres!$A$1:$I$89,5,0)</f>
        <v>134.97120000000004</v>
      </c>
      <c r="CA61" s="14">
        <f t="shared" si="39"/>
        <v>35.142536849088657</v>
      </c>
      <c r="CB61" s="22">
        <f t="shared" si="10"/>
        <v>296.2814250121628</v>
      </c>
      <c r="CC61" s="62">
        <f t="shared" si="11"/>
        <v>589.61475834549606</v>
      </c>
      <c r="CD61" s="62">
        <f ca="1">AVERAGE(OFFSET($CC$3,0,0,'Données projet'!$E$12+1,1))-AVERAGE(OFFSET($H$3,0,0,'Données projet'!$E$12+1,1))</f>
        <v>154.44480170404967</v>
      </c>
      <c r="CE61" s="62">
        <f t="shared" si="40"/>
        <v>186.45728006007272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9">
        <f t="shared" si="1"/>
        <v>366.69877012097305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10.8</v>
      </c>
      <c r="N62" s="14">
        <f>IF('Données projet'!$A$36&gt;35,N61+M62-V61,IF(A62&lt;'Données projet'!$A$36,$K$205^A62,IF(A62='Données projet'!$A$36,'Données projet'!$B$36,N61+M62-V61)))</f>
        <v>318.20000000000022</v>
      </c>
      <c r="O62" s="14">
        <f>N62*VLOOKUP('Données projet'!$B$9,Paramètres!$A$1:$I$89,3,0)*VLOOKUP('Données projet'!$B$9,Paramètres!$A$1:$I$89,5,0)</f>
        <v>182.01040000000012</v>
      </c>
      <c r="P62" s="14">
        <f t="shared" si="33"/>
        <v>45.769173585325895</v>
      </c>
      <c r="Q62" s="22">
        <f t="shared" si="53"/>
        <v>396.71609066110949</v>
      </c>
      <c r="R62" s="62">
        <f t="shared" si="0"/>
        <v>690.0494239944428</v>
      </c>
      <c r="S62" s="62">
        <f ca="1">AVERAGE(OFFSET($R$3,0,0,'Données projet'!$E$9+1,1))-AVERAGE(OFFSET($H$3,0,0,'Données projet'!$E$9+1,1))</f>
        <v>178.42783874015521</v>
      </c>
      <c r="T62" s="62">
        <f t="shared" si="34"/>
        <v>140.03904900962556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0.79501257324228791</v>
      </c>
      <c r="AB62" s="23">
        <f>EXP(-LN(2)/2)*AB61+(1-EXP(-LN(2)/2))/(LN(2)/2)*V62*Y62*VLOOKUP('Données projet'!$B$9,Paramètres!$A$1:$I$89,3,0)*0.475*44/12</f>
        <v>2.9646463356863722E-5</v>
      </c>
      <c r="AC62" s="24">
        <f t="shared" si="3"/>
        <v>0.79504221970564481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15.7</v>
      </c>
      <c r="AI62" s="14">
        <f>IF('Données projet'!$A$62&gt;35,AI61+AH62-AQ61,IF(A62&lt;'Données projet'!$A$62,$AF$205^A62,IF(A62='Données projet'!$A$62,'Données projet'!$B$62,AI61+AH62-AQ61)))</f>
        <v>377.3</v>
      </c>
      <c r="AJ62" s="14">
        <f>AI62*VLOOKUP('Données projet'!$B$10,Paramètres!$A$1:$I$89,3,0)*VLOOKUP('Données projet'!$B$10,Paramètres!$A$1:$I$89,5,0)</f>
        <v>225.62540000000004</v>
      </c>
      <c r="AK62" s="14">
        <f t="shared" si="35"/>
        <v>55.335736179321074</v>
      </c>
      <c r="AL62" s="22">
        <f t="shared" si="4"/>
        <v>489.34064551231751</v>
      </c>
      <c r="AM62" s="62">
        <f t="shared" si="5"/>
        <v>782.67397884565082</v>
      </c>
      <c r="AN62" s="62">
        <f ca="1">AVERAGE(OFFSET($AM$3,0,0,'Données projet'!$E$10+1,1))-AVERAGE(OFFSET($H$3,0,0,'Données projet'!$E$10+1,1))</f>
        <v>216.16876563248064</v>
      </c>
      <c r="AO62" s="62">
        <f t="shared" si="36"/>
        <v>137.55906339137317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1.0343017457974524</v>
      </c>
      <c r="AW62" s="23">
        <f>EXP(-LN(2)/2)*AW61+(1-EXP(-LN(2)/2))/(LN(2)/2)*AQ62*AT62*VLOOKUP('Données projet'!$B$10,Paramètres!$A$1:$I$89,3,0)*0.475*44/12</f>
        <v>1.8993943539615749E-4</v>
      </c>
      <c r="AX62" s="23">
        <f t="shared" si="6"/>
        <v>1.0344916852328485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</v>
      </c>
      <c r="BD62" s="13">
        <f>IF('Données projet'!$A$88&gt;35,BD61+BC62-BL61,IF(A62&lt;'Données projet'!$A$88,$BA$205^A62,IF(A62='Données projet'!$A$88,'Données projet'!$B$88,BD61+BC62-BL61)))</f>
        <v>211.00000000000006</v>
      </c>
      <c r="BE62" s="14">
        <f>BD62*VLOOKUP('Données projet'!$B$11,Paramètres!$A$1:$I$89,3,0)*VLOOKUP('Données projet'!$B$11,Paramètres!$A$1:$I$89,5,0)</f>
        <v>138.24720000000002</v>
      </c>
      <c r="BF62" s="14">
        <f t="shared" si="37"/>
        <v>35.895169667225971</v>
      </c>
      <c r="BG62" s="22">
        <f t="shared" si="7"/>
        <v>303.29796050375188</v>
      </c>
      <c r="BH62" s="62">
        <f t="shared" si="8"/>
        <v>596.6312938370852</v>
      </c>
      <c r="BI62" s="62">
        <f ca="1">AVERAGE(OFFSET($BH$3,0,0,'Données projet'!$E$11+1,1))-AVERAGE(OFFSET($H$3,0,0,'Données projet'!$E$11+1,1))</f>
        <v>154.44480170404967</v>
      </c>
      <c r="BJ62" s="62">
        <f t="shared" si="38"/>
        <v>186.45728006007272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</v>
      </c>
      <c r="BY62" s="13">
        <f>IF('Données projet'!$A$114&gt;35,BY61+BX62-CG61,IF(A62&lt;'Données projet'!$A$114,$BV$205^A62,IF(A62='Données projet'!$A$114,'Données projet'!$B$114,BY61+BX62-CG61)))</f>
        <v>211.00000000000006</v>
      </c>
      <c r="BZ62" s="14">
        <f>BY62*VLOOKUP('Données projet'!$B$12,Paramètres!$A$1:$I$89,3,0)*VLOOKUP('Données projet'!$B$12,Paramètres!$A$1:$I$89,5,0)</f>
        <v>138.24720000000002</v>
      </c>
      <c r="CA62" s="14">
        <f t="shared" si="39"/>
        <v>35.895169667225971</v>
      </c>
      <c r="CB62" s="22">
        <f t="shared" si="10"/>
        <v>303.29796050375188</v>
      </c>
      <c r="CC62" s="62">
        <f t="shared" si="11"/>
        <v>596.6312938370852</v>
      </c>
      <c r="CD62" s="62">
        <f ca="1">AVERAGE(OFFSET($CC$3,0,0,'Données projet'!$E$12+1,1))-AVERAGE(OFFSET($H$3,0,0,'Données projet'!$E$12+1,1))</f>
        <v>154.44480170404967</v>
      </c>
      <c r="CE62" s="62">
        <f t="shared" si="40"/>
        <v>186.45728006007272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9">
        <f t="shared" si="1"/>
        <v>367.90794799554254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329</v>
      </c>
      <c r="L63" s="13">
        <f>VLOOKUP(A63,'Données projet'!$A$35:$I$55,9,0)</f>
        <v>10.8</v>
      </c>
      <c r="M63" s="13">
        <f t="array" ref="M63">INDEX(L:L,MIN(IF(ISNUMBER(L63:L259),ROW(L63:L259),"")))</f>
        <v>10.8</v>
      </c>
      <c r="N63" s="14">
        <f>IF('Données projet'!$A$36&gt;35,N62+M63-V62,IF(A63&lt;'Données projet'!$A$36,$K$205^A63,IF(A63='Données projet'!$A$36,'Données projet'!$B$36,N62+M63-V62)))</f>
        <v>329.00000000000023</v>
      </c>
      <c r="O63" s="14">
        <f>N63*VLOOKUP('Données projet'!$B$9,Paramètres!$A$1:$I$89,3,0)*VLOOKUP('Données projet'!$B$9,Paramètres!$A$1:$I$89,5,0)</f>
        <v>188.18800000000013</v>
      </c>
      <c r="P63" s="14">
        <f t="shared" si="33"/>
        <v>47.139122230395323</v>
      </c>
      <c r="Q63" s="22">
        <f t="shared" si="53"/>
        <v>409.86140455127207</v>
      </c>
      <c r="R63" s="62">
        <f t="shared" si="0"/>
        <v>703.19473788460539</v>
      </c>
      <c r="S63" s="62">
        <f ca="1">AVERAGE(OFFSET($R$3,0,0,'Données projet'!$E$9+1,1))-AVERAGE(OFFSET($H$3,0,0,'Données projet'!$E$9+1,1))</f>
        <v>178.42783874015521</v>
      </c>
      <c r="T63" s="62">
        <f t="shared" si="34"/>
        <v>140.03904900962556</v>
      </c>
      <c r="U63" s="16">
        <f>IF(ISNA(VLOOKUP(A63,'Données projet'!$A$35:$I$55,3,0)),0,VLOOKUP(A63,'Données projet'!$A$35:$I$55,3,0))</f>
        <v>6</v>
      </c>
      <c r="V63" s="16">
        <f>IF(ISNA(VLOOKUP(A63,'Données projet'!$A$35:$I$55,4,0)),0,VLOOKUP(A63,'Données projet'!$A$35:$I$55,4,0))</f>
        <v>60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0.77327291261908337</v>
      </c>
      <c r="AB63" s="23">
        <f>EXP(-LN(2)/2)*AB62+(1-EXP(-LN(2)/2))/(LN(2)/2)*V63*Y63*VLOOKUP('Données projet'!$B$9,Paramètres!$A$1:$I$89,3,0)*0.475*44/12</f>
        <v>2.0963215277836836E-5</v>
      </c>
      <c r="AC63" s="24">
        <f t="shared" si="3"/>
        <v>0.77329387583436127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393</v>
      </c>
      <c r="AG63" s="13">
        <f>VLOOKUP(A63,'Données projet'!$A$61:$I$81,9,0)</f>
        <v>15.7</v>
      </c>
      <c r="AH63" s="13">
        <f t="array" ref="AH63">INDEX(AG:AG,MIN(IF(ISNUMBER(AG63:AG259),ROW(AG63:AG259),"")))</f>
        <v>15.7</v>
      </c>
      <c r="AI63" s="14">
        <f>IF('Données projet'!$A$62&gt;35,AI62+AH63-AQ62,IF(A63&lt;'Données projet'!$A$62,$AF$205^A63,IF(A63='Données projet'!$A$62,'Données projet'!$B$62,AI62+AH63-AQ62)))</f>
        <v>393</v>
      </c>
      <c r="AJ63" s="14">
        <f>AI63*VLOOKUP('Données projet'!$B$10,Paramètres!$A$1:$I$89,3,0)*VLOOKUP('Données projet'!$B$10,Paramètres!$A$1:$I$89,5,0)</f>
        <v>235.01400000000001</v>
      </c>
      <c r="AK63" s="14">
        <f t="shared" si="35"/>
        <v>57.365461071820548</v>
      </c>
      <c r="AL63" s="22">
        <f t="shared" si="4"/>
        <v>509.22756136675412</v>
      </c>
      <c r="AM63" s="62">
        <f t="shared" si="5"/>
        <v>802.56089470008737</v>
      </c>
      <c r="AN63" s="62">
        <f ca="1">AVERAGE(OFFSET($AM$3,0,0,'Données projet'!$E$10+1,1))-AVERAGE(OFFSET($H$3,0,0,'Données projet'!$E$10+1,1))</f>
        <v>216.16876563248064</v>
      </c>
      <c r="AO63" s="62">
        <f t="shared" si="36"/>
        <v>137.55906339137317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88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1.0060187101670561</v>
      </c>
      <c r="AW63" s="23">
        <f>EXP(-LN(2)/2)*AW62+(1-EXP(-LN(2)/2))/(LN(2)/2)*AQ63*AT63*VLOOKUP('Données projet'!$B$10,Paramètres!$A$1:$I$89,3,0)*0.475*44/12</f>
        <v>1.3430746278336712E-4</v>
      </c>
      <c r="AX63" s="23">
        <f t="shared" si="6"/>
        <v>1.0061530176298394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216</v>
      </c>
      <c r="BB63" s="13">
        <f>VLOOKUP(A63,'Données projet'!$A$87:$I$107,9,0)</f>
        <v>5</v>
      </c>
      <c r="BC63" s="13">
        <f t="array" ref="BC63">INDEX(BB:BB,MIN(IF(ISNUMBER(BB63:BB259),ROW(BB63:BB259),"")))</f>
        <v>5</v>
      </c>
      <c r="BD63" s="13">
        <f>IF('Données projet'!$A$88&gt;35,BD62+BC63-BL62,IF(A63&lt;'Données projet'!$A$88,$BA$205^A63,IF(A63='Données projet'!$A$88,'Données projet'!$B$88,BD62+BC63-BL62)))</f>
        <v>216.00000000000006</v>
      </c>
      <c r="BE63" s="14">
        <f>BD63*VLOOKUP('Données projet'!$B$11,Paramètres!$A$1:$I$89,3,0)*VLOOKUP('Données projet'!$B$11,Paramètres!$A$1:$I$89,5,0)</f>
        <v>141.52320000000006</v>
      </c>
      <c r="BF63" s="14">
        <f t="shared" si="37"/>
        <v>36.645729158274158</v>
      </c>
      <c r="BG63" s="22">
        <f t="shared" si="7"/>
        <v>310.31088495066086</v>
      </c>
      <c r="BH63" s="62">
        <f t="shared" si="8"/>
        <v>603.64421828399418</v>
      </c>
      <c r="BI63" s="62">
        <f ca="1">AVERAGE(OFFSET($BH$3,0,0,'Données projet'!$E$11+1,1))-AVERAGE(OFFSET($H$3,0,0,'Données projet'!$E$11+1,1))</f>
        <v>154.44480170404967</v>
      </c>
      <c r="BJ63" s="62">
        <f t="shared" si="38"/>
        <v>186.45728006007272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39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216</v>
      </c>
      <c r="BW63" s="13">
        <f>VLOOKUP(A63,'Données projet'!$A$113:$I$133,9,0)</f>
        <v>5</v>
      </c>
      <c r="BX63" s="13">
        <f t="array" ref="BX63">INDEX(BW:BW,MIN(IF(ISNUMBER(BW63:BW259),ROW(BW63:BW259),"")))</f>
        <v>5</v>
      </c>
      <c r="BY63" s="13">
        <f>IF('Données projet'!$A$114&gt;35,BY62+BX63-CG62,IF(A63&lt;'Données projet'!$A$114,$BV$205^A63,IF(A63='Données projet'!$A$114,'Données projet'!$B$114,BY62+BX63-CG62)))</f>
        <v>216.00000000000006</v>
      </c>
      <c r="BZ63" s="14">
        <f>BY63*VLOOKUP('Données projet'!$B$12,Paramètres!$A$1:$I$89,3,0)*VLOOKUP('Données projet'!$B$12,Paramètres!$A$1:$I$89,5,0)</f>
        <v>141.52320000000006</v>
      </c>
      <c r="CA63" s="14">
        <f t="shared" si="39"/>
        <v>36.645729158274158</v>
      </c>
      <c r="CB63" s="22">
        <f t="shared" si="10"/>
        <v>310.31088495066086</v>
      </c>
      <c r="CC63" s="62">
        <f t="shared" si="11"/>
        <v>603.64421828399418</v>
      </c>
      <c r="CD63" s="62">
        <f ca="1">AVERAGE(OFFSET($CC$3,0,0,'Données projet'!$E$12+1,1))-AVERAGE(OFFSET($H$3,0,0,'Données projet'!$E$12+1,1))</f>
        <v>154.44480170404967</v>
      </c>
      <c r="CE63" s="62">
        <f t="shared" si="40"/>
        <v>186.45728006007272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39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9">
        <f t="shared" si="1"/>
        <v>369.11662536915674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9.5</v>
      </c>
      <c r="N64" s="14">
        <f>IF('Données projet'!$A$36&gt;35,N63+M64-V63,IF(A64&lt;'Données projet'!$A$36,$K$205^A64,IF(A64='Données projet'!$A$36,'Données projet'!$B$36,N63+M64-V63)))</f>
        <v>278.50000000000023</v>
      </c>
      <c r="O64" s="14">
        <f>N64*VLOOKUP('Données projet'!$B$9,Paramètres!$A$1:$I$89,3,0)*VLOOKUP('Données projet'!$B$9,Paramètres!$A$1:$I$89,5,0)</f>
        <v>159.30200000000013</v>
      </c>
      <c r="P64" s="14">
        <f t="shared" si="33"/>
        <v>40.685039520733888</v>
      </c>
      <c r="Q64" s="22">
        <f t="shared" si="53"/>
        <v>348.31076049861173</v>
      </c>
      <c r="R64" s="62">
        <f t="shared" si="0"/>
        <v>641.64409383194504</v>
      </c>
      <c r="S64" s="62">
        <f ca="1">AVERAGE(OFFSET($R$3,0,0,'Données projet'!$E$9+1,1))-AVERAGE(OFFSET($H$3,0,0,'Données projet'!$E$9+1,1))</f>
        <v>178.42783874015521</v>
      </c>
      <c r="T64" s="62">
        <f t="shared" si="34"/>
        <v>140.03904900962556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0.75212772415885942</v>
      </c>
      <c r="AB64" s="23">
        <f>EXP(-LN(2)/2)*AB63+(1-EXP(-LN(2)/2))/(LN(2)/2)*V64*Y64*VLOOKUP('Données projet'!$B$9,Paramètres!$A$1:$I$89,3,0)*0.475*44/12</f>
        <v>1.4823231678431863E-5</v>
      </c>
      <c r="AC64" s="24">
        <f t="shared" si="3"/>
        <v>0.75214254739053787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14.3</v>
      </c>
      <c r="AI64" s="14">
        <f>IF('Données projet'!$A$62&gt;35,AI63+AH64-AQ63,IF(A64&lt;'Données projet'!$A$62,$AF$205^A64,IF(A64='Données projet'!$A$62,'Données projet'!$B$62,AI63+AH64-AQ63)))</f>
        <v>319.3</v>
      </c>
      <c r="AJ64" s="14">
        <f>AI64*VLOOKUP('Données projet'!$B$10,Paramètres!$A$1:$I$89,3,0)*VLOOKUP('Données projet'!$B$10,Paramètres!$A$1:$I$89,5,0)</f>
        <v>190.94140000000002</v>
      </c>
      <c r="AK64" s="14">
        <f t="shared" si="35"/>
        <v>47.748023117802013</v>
      </c>
      <c r="AL64" s="22">
        <f t="shared" si="4"/>
        <v>415.71741193017186</v>
      </c>
      <c r="AM64" s="62">
        <f t="shared" si="5"/>
        <v>709.05074526350518</v>
      </c>
      <c r="AN64" s="62">
        <f ca="1">AVERAGE(OFFSET($AM$3,0,0,'Données projet'!$E$10+1,1))-AVERAGE(OFFSET($H$3,0,0,'Données projet'!$E$10+1,1))</f>
        <v>216.16876563248064</v>
      </c>
      <c r="AO64" s="62">
        <f t="shared" si="36"/>
        <v>137.55906339137317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0.97850907563331335</v>
      </c>
      <c r="AW64" s="23">
        <f>EXP(-LN(2)/2)*AW63+(1-EXP(-LN(2)/2))/(LN(2)/2)*AQ64*AT64*VLOOKUP('Données projet'!$B$10,Paramètres!$A$1:$I$89,3,0)*0.475*44/12</f>
        <v>9.4969717698078747E-5</v>
      </c>
      <c r="AX64" s="23">
        <f t="shared" si="6"/>
        <v>0.97860404535101142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4.8</v>
      </c>
      <c r="BD64" s="13">
        <f>IF('Données projet'!$A$88&gt;35,BD63+BC64-BL63,IF(A64&lt;'Données projet'!$A$88,$BA$205^A64,IF(A64='Données projet'!$A$88,'Données projet'!$B$88,BD63+BC64-BL63)))</f>
        <v>181.80000000000007</v>
      </c>
      <c r="BE64" s="14">
        <f>BD64*VLOOKUP('Données projet'!$B$11,Paramètres!$A$1:$I$89,3,0)*VLOOKUP('Données projet'!$B$11,Paramètres!$A$1:$I$89,5,0)</f>
        <v>119.11536000000004</v>
      </c>
      <c r="BF64" s="14">
        <f t="shared" si="37"/>
        <v>31.468582772748093</v>
      </c>
      <c r="BG64" s="22">
        <f t="shared" si="7"/>
        <v>262.26703366253628</v>
      </c>
      <c r="BH64" s="62">
        <f t="shared" si="8"/>
        <v>555.60036699586954</v>
      </c>
      <c r="BI64" s="62">
        <f ca="1">AVERAGE(OFFSET($BH$3,0,0,'Données projet'!$E$11+1,1))-AVERAGE(OFFSET($H$3,0,0,'Données projet'!$E$11+1,1))</f>
        <v>154.44480170404967</v>
      </c>
      <c r="BJ64" s="62">
        <f t="shared" si="38"/>
        <v>186.45728006007272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4.8</v>
      </c>
      <c r="BY64" s="13">
        <f>IF('Données projet'!$A$114&gt;35,BY63+BX64-CG63,IF(A64&lt;'Données projet'!$A$114,$BV$205^A64,IF(A64='Données projet'!$A$114,'Données projet'!$B$114,BY63+BX64-CG63)))</f>
        <v>181.80000000000007</v>
      </c>
      <c r="BZ64" s="14">
        <f>BY64*VLOOKUP('Données projet'!$B$12,Paramètres!$A$1:$I$89,3,0)*VLOOKUP('Données projet'!$B$12,Paramètres!$A$1:$I$89,5,0)</f>
        <v>119.11536000000004</v>
      </c>
      <c r="CA64" s="14">
        <f t="shared" si="39"/>
        <v>31.468582772748093</v>
      </c>
      <c r="CB64" s="22">
        <f t="shared" si="10"/>
        <v>262.26703366253628</v>
      </c>
      <c r="CC64" s="62">
        <f t="shared" si="11"/>
        <v>555.60036699586954</v>
      </c>
      <c r="CD64" s="62">
        <f ca="1">AVERAGE(OFFSET($CC$3,0,0,'Données projet'!$E$12+1,1))-AVERAGE(OFFSET($H$3,0,0,'Données projet'!$E$12+1,1))</f>
        <v>154.44480170404967</v>
      </c>
      <c r="CE64" s="62">
        <f t="shared" si="40"/>
        <v>186.45728006007272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9">
        <f t="shared" si="1"/>
        <v>370.32481139389552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9.5</v>
      </c>
      <c r="N65" s="14">
        <f>IF('Données projet'!$A$36&gt;35,N64+M65-V64,IF(A65&lt;'Données projet'!$A$36,$K$205^A65,IF(A65='Données projet'!$A$36,'Données projet'!$B$36,N64+M65-V64)))</f>
        <v>288.00000000000023</v>
      </c>
      <c r="O65" s="14">
        <f>N65*VLOOKUP('Données projet'!$B$9,Paramètres!$A$1:$I$89,3,0)*VLOOKUP('Données projet'!$B$9,Paramètres!$A$1:$I$89,5,0)</f>
        <v>164.73600000000013</v>
      </c>
      <c r="P65" s="14">
        <f t="shared" si="33"/>
        <v>41.908913144700364</v>
      </c>
      <c r="Q65" s="22">
        <f t="shared" si="53"/>
        <v>359.90655706035335</v>
      </c>
      <c r="R65" s="62">
        <f t="shared" si="0"/>
        <v>653.23989039368666</v>
      </c>
      <c r="S65" s="62">
        <f ca="1">AVERAGE(OFFSET($R$3,0,0,'Données projet'!$E$9+1,1))-AVERAGE(OFFSET($H$3,0,0,'Données projet'!$E$9+1,1))</f>
        <v>178.42783874015521</v>
      </c>
      <c r="T65" s="62">
        <f t="shared" si="34"/>
        <v>140.03904900962556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0.73156075198905746</v>
      </c>
      <c r="AB65" s="23">
        <f>EXP(-LN(2)/2)*AB64+(1-EXP(-LN(2)/2))/(LN(2)/2)*V65*Y65*VLOOKUP('Données projet'!$B$9,Paramètres!$A$1:$I$89,3,0)*0.475*44/12</f>
        <v>1.048160763891842E-5</v>
      </c>
      <c r="AC65" s="24">
        <f t="shared" si="3"/>
        <v>0.7315712335966964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14.3</v>
      </c>
      <c r="AI65" s="14">
        <f>IF('Données projet'!$A$62&gt;35,AI64+AH65-AQ64,IF(A65&lt;'Données projet'!$A$62,$AF$205^A65,IF(A65='Données projet'!$A$62,'Données projet'!$B$62,AI64+AH65-AQ64)))</f>
        <v>333.6</v>
      </c>
      <c r="AJ65" s="14">
        <f>AI65*VLOOKUP('Données projet'!$B$10,Paramètres!$A$1:$I$89,3,0)*VLOOKUP('Données projet'!$B$10,Paramètres!$A$1:$I$89,5,0)</f>
        <v>199.49280000000002</v>
      </c>
      <c r="AK65" s="14">
        <f t="shared" si="35"/>
        <v>49.632684049228061</v>
      </c>
      <c r="AL65" s="22">
        <f t="shared" si="4"/>
        <v>433.89355138573887</v>
      </c>
      <c r="AM65" s="62">
        <f t="shared" si="5"/>
        <v>727.22688471907213</v>
      </c>
      <c r="AN65" s="62">
        <f ca="1">AVERAGE(OFFSET($AM$3,0,0,'Données projet'!$E$10+1,1))-AVERAGE(OFFSET($H$3,0,0,'Données projet'!$E$10+1,1))</f>
        <v>216.16876563248064</v>
      </c>
      <c r="AO65" s="62">
        <f t="shared" si="36"/>
        <v>137.55906339137317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0.9517516935025645</v>
      </c>
      <c r="AW65" s="23">
        <f>EXP(-LN(2)/2)*AW64+(1-EXP(-LN(2)/2))/(LN(2)/2)*AQ65*AT65*VLOOKUP('Données projet'!$B$10,Paramètres!$A$1:$I$89,3,0)*0.475*44/12</f>
        <v>6.7153731391683558E-5</v>
      </c>
      <c r="AX65" s="23">
        <f t="shared" si="6"/>
        <v>0.95181884723395616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4.8</v>
      </c>
      <c r="BD65" s="13">
        <f>IF('Données projet'!$A$88&gt;35,BD64+BC65-BL64,IF(A65&lt;'Données projet'!$A$88,$BA$205^A65,IF(A65='Données projet'!$A$88,'Données projet'!$B$88,BD64+BC65-BL64)))</f>
        <v>186.60000000000008</v>
      </c>
      <c r="BE65" s="14">
        <f>BD65*VLOOKUP('Données projet'!$B$11,Paramètres!$A$1:$I$89,3,0)*VLOOKUP('Données projet'!$B$11,Paramètres!$A$1:$I$89,5,0)</f>
        <v>122.26032000000005</v>
      </c>
      <c r="BF65" s="14">
        <f t="shared" si="37"/>
        <v>32.2016078999482</v>
      </c>
      <c r="BG65" s="22">
        <f t="shared" si="7"/>
        <v>269.02119109240988</v>
      </c>
      <c r="BH65" s="62">
        <f t="shared" si="8"/>
        <v>562.35452442574319</v>
      </c>
      <c r="BI65" s="62">
        <f ca="1">AVERAGE(OFFSET($BH$3,0,0,'Données projet'!$E$11+1,1))-AVERAGE(OFFSET($H$3,0,0,'Données projet'!$E$11+1,1))</f>
        <v>154.44480170404967</v>
      </c>
      <c r="BJ65" s="62">
        <f t="shared" si="38"/>
        <v>186.45728006007272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4.8</v>
      </c>
      <c r="BY65" s="13">
        <f>IF('Données projet'!$A$114&gt;35,BY64+BX65-CG64,IF(A65&lt;'Données projet'!$A$114,$BV$205^A65,IF(A65='Données projet'!$A$114,'Données projet'!$B$114,BY64+BX65-CG64)))</f>
        <v>186.60000000000008</v>
      </c>
      <c r="BZ65" s="14">
        <f>BY65*VLOOKUP('Données projet'!$B$12,Paramètres!$A$1:$I$89,3,0)*VLOOKUP('Données projet'!$B$12,Paramètres!$A$1:$I$89,5,0)</f>
        <v>122.26032000000005</v>
      </c>
      <c r="CA65" s="14">
        <f t="shared" si="39"/>
        <v>32.2016078999482</v>
      </c>
      <c r="CB65" s="22">
        <f t="shared" si="10"/>
        <v>269.02119109240988</v>
      </c>
      <c r="CC65" s="62">
        <f t="shared" si="11"/>
        <v>562.35452442574319</v>
      </c>
      <c r="CD65" s="62">
        <f ca="1">AVERAGE(OFFSET($CC$3,0,0,'Données projet'!$E$12+1,1))-AVERAGE(OFFSET($H$3,0,0,'Données projet'!$E$12+1,1))</f>
        <v>154.44480170404967</v>
      </c>
      <c r="CE65" s="62">
        <f t="shared" si="40"/>
        <v>186.45728006007272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9">
        <f t="shared" si="1"/>
        <v>371.53251490968091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9.5</v>
      </c>
      <c r="N66" s="14">
        <f>IF('Données projet'!$A$36&gt;35,N65+M66-V65,IF(A66&lt;'Données projet'!$A$36,$K$205^A66,IF(A66='Données projet'!$A$36,'Données projet'!$B$36,N65+M66-V65)))</f>
        <v>297.50000000000023</v>
      </c>
      <c r="O66" s="14">
        <f>N66*VLOOKUP('Données projet'!$B$9,Paramètres!$A$1:$I$89,3,0)*VLOOKUP('Données projet'!$B$9,Paramètres!$A$1:$I$89,5,0)</f>
        <v>170.17000000000013</v>
      </c>
      <c r="P66" s="14">
        <f t="shared" si="33"/>
        <v>43.128095715049447</v>
      </c>
      <c r="Q66" s="22">
        <f t="shared" si="53"/>
        <v>371.49418337037804</v>
      </c>
      <c r="R66" s="62">
        <f t="shared" si="0"/>
        <v>664.82751670371135</v>
      </c>
      <c r="S66" s="62">
        <f ca="1">AVERAGE(OFFSET($R$3,0,0,'Données projet'!$E$9+1,1))-AVERAGE(OFFSET($H$3,0,0,'Données projet'!$E$9+1,1))</f>
        <v>178.42783874015521</v>
      </c>
      <c r="T66" s="62">
        <f t="shared" si="34"/>
        <v>140.03904900962556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0.71155618475480875</v>
      </c>
      <c r="AB66" s="23">
        <f>EXP(-LN(2)/2)*AB65+(1-EXP(-LN(2)/2))/(LN(2)/2)*V66*Y66*VLOOKUP('Données projet'!$B$9,Paramètres!$A$1:$I$89,3,0)*0.475*44/12</f>
        <v>7.4116158392159323E-6</v>
      </c>
      <c r="AC66" s="24">
        <f t="shared" si="3"/>
        <v>0.71156359637064792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14.3</v>
      </c>
      <c r="AI66" s="14">
        <f>IF('Données projet'!$A$62&gt;35,AI65+AH66-AQ65,IF(A66&lt;'Données projet'!$A$62,$AF$205^A66,IF(A66='Données projet'!$A$62,'Données projet'!$B$62,AI65+AH66-AQ65)))</f>
        <v>347.90000000000003</v>
      </c>
      <c r="AJ66" s="14">
        <f>AI66*VLOOKUP('Données projet'!$B$10,Paramètres!$A$1:$I$89,3,0)*VLOOKUP('Données projet'!$B$10,Paramètres!$A$1:$I$89,5,0)</f>
        <v>208.04420000000005</v>
      </c>
      <c r="AK66" s="14">
        <f t="shared" si="35"/>
        <v>51.507961722634242</v>
      </c>
      <c r="AL66" s="22">
        <f t="shared" si="4"/>
        <v>452.05334833358802</v>
      </c>
      <c r="AM66" s="62">
        <f t="shared" si="5"/>
        <v>745.38668166692128</v>
      </c>
      <c r="AN66" s="62">
        <f ca="1">AVERAGE(OFFSET($AM$3,0,0,'Données projet'!$E$10+1,1))-AVERAGE(OFFSET($H$3,0,0,'Données projet'!$E$10+1,1))</f>
        <v>216.16876563248064</v>
      </c>
      <c r="AO66" s="62">
        <f t="shared" si="36"/>
        <v>137.55906339137317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0.92572599339329054</v>
      </c>
      <c r="AW66" s="23">
        <f>EXP(-LN(2)/2)*AW65+(1-EXP(-LN(2)/2))/(LN(2)/2)*AQ66*AT66*VLOOKUP('Données projet'!$B$10,Paramètres!$A$1:$I$89,3,0)*0.475*44/12</f>
        <v>4.7484858849039374E-5</v>
      </c>
      <c r="AX66" s="23">
        <f t="shared" si="6"/>
        <v>0.92577347825213963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4.8</v>
      </c>
      <c r="BD66" s="13">
        <f>IF('Données projet'!$A$88&gt;35,BD65+BC66-BL65,IF(A66&lt;'Données projet'!$A$88,$BA$205^A66,IF(A66='Données projet'!$A$88,'Données projet'!$B$88,BD65+BC66-BL65)))</f>
        <v>191.40000000000009</v>
      </c>
      <c r="BE66" s="14">
        <f>BD66*VLOOKUP('Données projet'!$B$11,Paramètres!$A$1:$I$89,3,0)*VLOOKUP('Données projet'!$B$11,Paramètres!$A$1:$I$89,5,0)</f>
        <v>125.40528000000006</v>
      </c>
      <c r="BF66" s="14">
        <f t="shared" si="37"/>
        <v>32.932441221531526</v>
      </c>
      <c r="BG66" s="22">
        <f t="shared" si="7"/>
        <v>275.77153112750085</v>
      </c>
      <c r="BH66" s="62">
        <f t="shared" si="8"/>
        <v>569.10486446083416</v>
      </c>
      <c r="BI66" s="62">
        <f ca="1">AVERAGE(OFFSET($BH$3,0,0,'Données projet'!$E$11+1,1))-AVERAGE(OFFSET($H$3,0,0,'Données projet'!$E$11+1,1))</f>
        <v>154.44480170404967</v>
      </c>
      <c r="BJ66" s="62">
        <f t="shared" si="38"/>
        <v>186.45728006007272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4.8</v>
      </c>
      <c r="BY66" s="13">
        <f>IF('Données projet'!$A$114&gt;35,BY65+BX66-CG65,IF(A66&lt;'Données projet'!$A$114,$BV$205^A66,IF(A66='Données projet'!$A$114,'Données projet'!$B$114,BY65+BX66-CG65)))</f>
        <v>191.40000000000009</v>
      </c>
      <c r="BZ66" s="14">
        <f>BY66*VLOOKUP('Données projet'!$B$12,Paramètres!$A$1:$I$89,3,0)*VLOOKUP('Données projet'!$B$12,Paramètres!$A$1:$I$89,5,0)</f>
        <v>125.40528000000006</v>
      </c>
      <c r="CA66" s="14">
        <f t="shared" si="39"/>
        <v>32.932441221531526</v>
      </c>
      <c r="CB66" s="22">
        <f t="shared" si="10"/>
        <v>275.77153112750085</v>
      </c>
      <c r="CC66" s="62">
        <f t="shared" si="11"/>
        <v>569.10486446083416</v>
      </c>
      <c r="CD66" s="62">
        <f ca="1">AVERAGE(OFFSET($CC$3,0,0,'Données projet'!$E$12+1,1))-AVERAGE(OFFSET($H$3,0,0,'Données projet'!$E$12+1,1))</f>
        <v>154.44480170404967</v>
      </c>
      <c r="CE66" s="62">
        <f t="shared" si="40"/>
        <v>186.45728006007272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9">
        <f t="shared" si="1"/>
        <v>372.73974445970646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9.5</v>
      </c>
      <c r="N67" s="14">
        <f>IF('Données projet'!$A$36&gt;35,N66+M67-V66,IF(A67&lt;'Données projet'!$A$36,$K$205^A67,IF(A67='Données projet'!$A$36,'Données projet'!$B$36,N66+M67-V66)))</f>
        <v>307.00000000000023</v>
      </c>
      <c r="O67" s="14">
        <f>N67*VLOOKUP('Données projet'!$B$9,Paramètres!$A$1:$I$89,3,0)*VLOOKUP('Données projet'!$B$9,Paramètres!$A$1:$I$89,5,0)</f>
        <v>175.60400000000013</v>
      </c>
      <c r="P67" s="14">
        <f t="shared" si="33"/>
        <v>44.342754213843108</v>
      </c>
      <c r="Q67" s="22">
        <f t="shared" ref="Q67:Q98" si="54">(O67+P67)*0.475*44/12</f>
        <v>383.07393025577699</v>
      </c>
      <c r="R67" s="62">
        <f t="shared" ref="R67:R130" si="55">Q67+(I67+J67)*44/12</f>
        <v>676.40726358911024</v>
      </c>
      <c r="S67" s="62">
        <f ca="1">AVERAGE(OFFSET($R$3,0,0,'Données projet'!$E$9+1,1))-AVERAGE(OFFSET($H$3,0,0,'Données projet'!$E$9+1,1))</f>
        <v>178.42783874015521</v>
      </c>
      <c r="T67" s="62">
        <f t="shared" si="34"/>
        <v>140.03904900962556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0.69209864346357508</v>
      </c>
      <c r="AB67" s="23">
        <f>EXP(-LN(2)/2)*AB66+(1-EXP(-LN(2)/2))/(LN(2)/2)*V67*Y67*VLOOKUP('Données projet'!$B$9,Paramètres!$A$1:$I$89,3,0)*0.475*44/12</f>
        <v>5.2408038194592107E-6</v>
      </c>
      <c r="AC67" s="24">
        <f t="shared" si="3"/>
        <v>0.69210388426739455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14.3</v>
      </c>
      <c r="AI67" s="14">
        <f>IF('Données projet'!$A$62&gt;35,AI66+AH67-AQ66,IF(A67&lt;'Données projet'!$A$62,$AF$205^A67,IF(A67='Données projet'!$A$62,'Données projet'!$B$62,AI66+AH67-AQ66)))</f>
        <v>362.20000000000005</v>
      </c>
      <c r="AJ67" s="14">
        <f>AI67*VLOOKUP('Données projet'!$B$10,Paramètres!$A$1:$I$89,3,0)*VLOOKUP('Données projet'!$B$10,Paramètres!$A$1:$I$89,5,0)</f>
        <v>216.59560000000005</v>
      </c>
      <c r="AK67" s="14">
        <f t="shared" si="35"/>
        <v>53.374285937607603</v>
      </c>
      <c r="AL67" s="22">
        <f t="shared" si="4"/>
        <v>470.19755134133334</v>
      </c>
      <c r="AM67" s="62">
        <f t="shared" si="5"/>
        <v>763.53088467466659</v>
      </c>
      <c r="AN67" s="62">
        <f ca="1">AVERAGE(OFFSET($AM$3,0,0,'Données projet'!$E$10+1,1))-AVERAGE(OFFSET($H$3,0,0,'Données projet'!$E$10+1,1))</f>
        <v>216.16876563248064</v>
      </c>
      <c r="AO67" s="62">
        <f t="shared" si="36"/>
        <v>137.55906339137317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0.90041196742213681</v>
      </c>
      <c r="AW67" s="23">
        <f>EXP(-LN(2)/2)*AW66+(1-EXP(-LN(2)/2))/(LN(2)/2)*AQ67*AT67*VLOOKUP('Données projet'!$B$10,Paramètres!$A$1:$I$89,3,0)*0.475*44/12</f>
        <v>3.3576865695841779E-5</v>
      </c>
      <c r="AX67" s="23">
        <f t="shared" si="6"/>
        <v>0.90044554428783263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4.8</v>
      </c>
      <c r="BD67" s="13">
        <f>IF('Données projet'!$A$88&gt;35,BD66+BC67-BL66,IF(A67&lt;'Données projet'!$A$88,$BA$205^A67,IF(A67='Données projet'!$A$88,'Données projet'!$B$88,BD66+BC67-BL66)))</f>
        <v>196.2000000000001</v>
      </c>
      <c r="BE67" s="14">
        <f>BD67*VLOOKUP('Données projet'!$B$11,Paramètres!$A$1:$I$89,3,0)*VLOOKUP('Données projet'!$B$11,Paramètres!$A$1:$I$89,5,0)</f>
        <v>128.55024000000006</v>
      </c>
      <c r="BF67" s="14">
        <f t="shared" si="37"/>
        <v>33.661144026076698</v>
      </c>
      <c r="BG67" s="22">
        <f t="shared" si="7"/>
        <v>282.51816051208368</v>
      </c>
      <c r="BH67" s="62">
        <f t="shared" si="8"/>
        <v>575.85149384541705</v>
      </c>
      <c r="BI67" s="62">
        <f ca="1">AVERAGE(OFFSET($BH$3,0,0,'Données projet'!$E$11+1,1))-AVERAGE(OFFSET($H$3,0,0,'Données projet'!$E$11+1,1))</f>
        <v>154.44480170404967</v>
      </c>
      <c r="BJ67" s="62">
        <f t="shared" si="38"/>
        <v>186.45728006007272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4.8</v>
      </c>
      <c r="BY67" s="13">
        <f>IF('Données projet'!$A$114&gt;35,BY66+BX67-CG66,IF(A67&lt;'Données projet'!$A$114,$BV$205^A67,IF(A67='Données projet'!$A$114,'Données projet'!$B$114,BY66+BX67-CG66)))</f>
        <v>196.2000000000001</v>
      </c>
      <c r="BZ67" s="14">
        <f>BY67*VLOOKUP('Données projet'!$B$12,Paramètres!$A$1:$I$89,3,0)*VLOOKUP('Données projet'!$B$12,Paramètres!$A$1:$I$89,5,0)</f>
        <v>128.55024000000006</v>
      </c>
      <c r="CA67" s="14">
        <f t="shared" si="39"/>
        <v>33.661144026076698</v>
      </c>
      <c r="CB67" s="22">
        <f t="shared" si="10"/>
        <v>282.51816051208368</v>
      </c>
      <c r="CC67" s="62">
        <f t="shared" si="11"/>
        <v>575.85149384541705</v>
      </c>
      <c r="CD67" s="62">
        <f ca="1">AVERAGE(OFFSET($CC$3,0,0,'Données projet'!$E$12+1,1))-AVERAGE(OFFSET($H$3,0,0,'Données projet'!$E$12+1,1))</f>
        <v>154.44480170404967</v>
      </c>
      <c r="CE67" s="62">
        <f t="shared" si="40"/>
        <v>186.45728006007272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9">
        <f t="shared" ref="H68:H131" si="56">(B68+E68+F68)*44/12+(C68+D68)*0.475*44/12</f>
        <v>373.94650830487547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9.5</v>
      </c>
      <c r="N68" s="14">
        <f>IF('Données projet'!$A$36&gt;35,N67+M68-V67,IF(A68&lt;'Données projet'!$A$36,$K$205^A68,IF(A68='Données projet'!$A$36,'Données projet'!$B$36,N67+M68-V67)))</f>
        <v>316.50000000000023</v>
      </c>
      <c r="O68" s="14">
        <f>N68*VLOOKUP('Données projet'!$B$9,Paramètres!$A$1:$I$89,3,0)*VLOOKUP('Données projet'!$B$9,Paramètres!$A$1:$I$89,5,0)</f>
        <v>181.03800000000015</v>
      </c>
      <c r="P68" s="14">
        <f t="shared" si="33"/>
        <v>45.553044701671382</v>
      </c>
      <c r="Q68" s="22">
        <f t="shared" si="54"/>
        <v>394.64606952207788</v>
      </c>
      <c r="R68" s="62">
        <f t="shared" si="55"/>
        <v>687.97940285541119</v>
      </c>
      <c r="S68" s="62">
        <f ca="1">AVERAGE(OFFSET($R$3,0,0,'Données projet'!$E$9+1,1))-AVERAGE(OFFSET($H$3,0,0,'Données projet'!$E$9+1,1))</f>
        <v>178.42783874015521</v>
      </c>
      <c r="T68" s="62">
        <f t="shared" si="34"/>
        <v>140.03904900962556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0.67317316966217777</v>
      </c>
      <c r="AB68" s="23">
        <f>EXP(-LN(2)/2)*AB67+(1-EXP(-LN(2)/2))/(LN(2)/2)*V68*Y68*VLOOKUP('Données projet'!$B$9,Paramètres!$A$1:$I$89,3,0)*0.475*44/12</f>
        <v>3.705807919607967E-6</v>
      </c>
      <c r="AC68" s="24">
        <f t="shared" ref="AC68:AC131" si="57">SUM(Z68:AB68)</f>
        <v>0.67317687547009741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14.3</v>
      </c>
      <c r="AI68" s="14">
        <f>IF('Données projet'!$A$62&gt;35,AI67+AH68-AQ67,IF(A68&lt;'Données projet'!$A$62,$AF$205^A68,IF(A68='Données projet'!$A$62,'Données projet'!$B$62,AI67+AH68-AQ67)))</f>
        <v>376.50000000000006</v>
      </c>
      <c r="AJ68" s="14">
        <f>AI68*VLOOKUP('Données projet'!$B$10,Paramètres!$A$1:$I$89,3,0)*VLOOKUP('Données projet'!$B$10,Paramètres!$A$1:$I$89,5,0)</f>
        <v>225.14700000000005</v>
      </c>
      <c r="AK68" s="14">
        <f t="shared" si="35"/>
        <v>55.232050634645063</v>
      </c>
      <c r="AL68" s="22">
        <f t="shared" ref="AL68:AL131" si="58">(AJ68+AK68)*0.475*44/12</f>
        <v>488.32684652200686</v>
      </c>
      <c r="AM68" s="62">
        <f t="shared" ref="AM68:AM131" si="59">AL68+(AD68+AE68)*44/12</f>
        <v>781.66017985534017</v>
      </c>
      <c r="AN68" s="62">
        <f ca="1">AVERAGE(OFFSET($AM$3,0,0,'Données projet'!$E$10+1,1))-AVERAGE(OFFSET($H$3,0,0,'Données projet'!$E$10+1,1))</f>
        <v>216.16876563248064</v>
      </c>
      <c r="AO68" s="62">
        <f t="shared" si="36"/>
        <v>137.55906339137317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0.87579015482237099</v>
      </c>
      <c r="AW68" s="23">
        <f>EXP(-LN(2)/2)*AW67+(1-EXP(-LN(2)/2))/(LN(2)/2)*AQ68*AT68*VLOOKUP('Données projet'!$B$10,Paramètres!$A$1:$I$89,3,0)*0.475*44/12</f>
        <v>2.3742429424519687E-5</v>
      </c>
      <c r="AX68" s="23">
        <f t="shared" ref="AX68:AX131" si="60">SUM(AU68:AW68)</f>
        <v>0.87581389725179548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201</v>
      </c>
      <c r="BB68" s="13">
        <f>VLOOKUP(A68,'Données projet'!$A$87:$I$107,9,0)</f>
        <v>4.8</v>
      </c>
      <c r="BC68" s="13">
        <f t="array" ref="BC68">INDEX(BB:BB,MIN(IF(ISNUMBER(BB68:BB264),ROW(BB68:BB264),"")))</f>
        <v>4.8</v>
      </c>
      <c r="BD68" s="13">
        <f>IF('Données projet'!$A$88&gt;35,BD67+BC68-BL67,IF(A68&lt;'Données projet'!$A$88,$BA$205^A68,IF(A68='Données projet'!$A$88,'Données projet'!$B$88,BD67+BC68-BL67)))</f>
        <v>201.00000000000011</v>
      </c>
      <c r="BE68" s="14">
        <f>BD68*VLOOKUP('Données projet'!$B$11,Paramètres!$A$1:$I$89,3,0)*VLOOKUP('Données projet'!$B$11,Paramètres!$A$1:$I$89,5,0)</f>
        <v>131.69520000000009</v>
      </c>
      <c r="BF68" s="14">
        <f t="shared" si="37"/>
        <v>34.387774432362271</v>
      </c>
      <c r="BG68" s="22">
        <f t="shared" ref="BG68:BG131" si="61">(BE68+BF68)*0.475*44/12</f>
        <v>289.26118046969776</v>
      </c>
      <c r="BH68" s="62">
        <f t="shared" ref="BH68:BH131" si="62">BG68+(AY68+AZ68)*44/12</f>
        <v>582.59451380303108</v>
      </c>
      <c r="BI68" s="62">
        <f ca="1">AVERAGE(OFFSET($BH$3,0,0,'Données projet'!$E$11+1,1))-AVERAGE(OFFSET($H$3,0,0,'Données projet'!$E$11+1,1))</f>
        <v>154.44480170404967</v>
      </c>
      <c r="BJ68" s="62">
        <f t="shared" si="38"/>
        <v>186.45728006007272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201</v>
      </c>
      <c r="BW68" s="13">
        <f>VLOOKUP(A68,'Données projet'!$A$113:$I$133,9,0)</f>
        <v>4.8</v>
      </c>
      <c r="BX68" s="13">
        <f t="array" ref="BX68">INDEX(BW:BW,MIN(IF(ISNUMBER(BW68:BW264),ROW(BW68:BW264),"")))</f>
        <v>4.8</v>
      </c>
      <c r="BY68" s="13">
        <f>IF('Données projet'!$A$114&gt;35,BY67+BX68-CG67,IF(A68&lt;'Données projet'!$A$114,$BV$205^A68,IF(A68='Données projet'!$A$114,'Données projet'!$B$114,BY67+BX68-CG67)))</f>
        <v>201.00000000000011</v>
      </c>
      <c r="BZ68" s="14">
        <f>BY68*VLOOKUP('Données projet'!$B$12,Paramètres!$A$1:$I$89,3,0)*VLOOKUP('Données projet'!$B$12,Paramètres!$A$1:$I$89,5,0)</f>
        <v>131.69520000000009</v>
      </c>
      <c r="CA68" s="14">
        <f t="shared" si="39"/>
        <v>34.387774432362271</v>
      </c>
      <c r="CB68" s="22">
        <f t="shared" ref="CB68:CB131" si="64">(BZ68+CA68)*0.475*44/12</f>
        <v>289.26118046969776</v>
      </c>
      <c r="CC68" s="62">
        <f t="shared" ref="CC68:CC131" si="65">CB68+(BT68+BU68)*44/12</f>
        <v>582.59451380303108</v>
      </c>
      <c r="CD68" s="62">
        <f ca="1">AVERAGE(OFFSET($CC$3,0,0,'Données projet'!$E$12+1,1))-AVERAGE(OFFSET($H$3,0,0,'Données projet'!$E$12+1,1))</f>
        <v>154.44480170404967</v>
      </c>
      <c r="CE68" s="62">
        <f t="shared" si="40"/>
        <v>186.45728006007272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9">
        <f t="shared" si="56"/>
        <v>375.15281443732528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9.5</v>
      </c>
      <c r="N69" s="14">
        <f>IF('Données projet'!$A$36&gt;35,N68+M69-V68,IF(A69&lt;'Données projet'!$A$36,$K$205^A69,IF(A69='Données projet'!$A$36,'Données projet'!$B$36,N68+M69-V68)))</f>
        <v>326.00000000000023</v>
      </c>
      <c r="O69" s="14">
        <f>N69*VLOOKUP('Données projet'!$B$9,Paramètres!$A$1:$I$89,3,0)*VLOOKUP('Données projet'!$B$9,Paramètres!$A$1:$I$89,5,0)</f>
        <v>186.47200000000015</v>
      </c>
      <c r="P69" s="14">
        <f t="shared" ref="P69:P132" si="87">EXP(-1.0587+0.8836*LN(O69)+0.284)</f>
        <v>46.759113338100882</v>
      </c>
      <c r="Q69" s="22">
        <f t="shared" si="54"/>
        <v>406.21085573052596</v>
      </c>
      <c r="R69" s="62">
        <f t="shared" si="55"/>
        <v>699.54418906385922</v>
      </c>
      <c r="S69" s="62">
        <f ca="1">AVERAGE(OFFSET($R$3,0,0,'Données projet'!$E$9+1,1))-AVERAGE(OFFSET($H$3,0,0,'Données projet'!$E$9+1,1))</f>
        <v>178.42783874015521</v>
      </c>
      <c r="T69" s="62">
        <f t="shared" ref="T69:T132" si="88">$T$3</f>
        <v>140.03904900962556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0.65476521393712706</v>
      </c>
      <c r="AB69" s="23">
        <f>EXP(-LN(2)/2)*AB68+(1-EXP(-LN(2)/2))/(LN(2)/2)*V69*Y69*VLOOKUP('Données projet'!$B$9,Paramètres!$A$1:$I$89,3,0)*0.475*44/12</f>
        <v>2.6204019097296058E-6</v>
      </c>
      <c r="AC69" s="24">
        <f t="shared" si="57"/>
        <v>0.65476783433903674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14.3</v>
      </c>
      <c r="AI69" s="14">
        <f>IF('Données projet'!$A$62&gt;35,AI68+AH69-AQ68,IF(A69&lt;'Données projet'!$A$62,$AF$205^A69,IF(A69='Données projet'!$A$62,'Données projet'!$B$62,AI68+AH69-AQ68)))</f>
        <v>390.80000000000007</v>
      </c>
      <c r="AJ69" s="14">
        <f>AI69*VLOOKUP('Données projet'!$B$10,Paramètres!$A$1:$I$89,3,0)*VLOOKUP('Données projet'!$B$10,Paramètres!$A$1:$I$89,5,0)</f>
        <v>233.69840000000005</v>
      </c>
      <c r="AK69" s="14">
        <f t="shared" ref="AK69:AK132" si="89">EXP(-1.0587+0.8836*LN(AJ69)+0.284)</f>
        <v>57.081618134454175</v>
      </c>
      <c r="AL69" s="22">
        <f t="shared" si="58"/>
        <v>506.44186491750776</v>
      </c>
      <c r="AM69" s="62">
        <f t="shared" si="59"/>
        <v>799.77519825084107</v>
      </c>
      <c r="AN69" s="62">
        <f ca="1">AVERAGE(OFFSET($AM$3,0,0,'Données projet'!$E$10+1,1))-AVERAGE(OFFSET($H$3,0,0,'Données projet'!$E$10+1,1))</f>
        <v>216.16876563248064</v>
      </c>
      <c r="AO69" s="62">
        <f t="shared" ref="AO69:AO132" si="90">$AO$3</f>
        <v>137.55906339137317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0.85184162698295063</v>
      </c>
      <c r="AW69" s="23">
        <f>EXP(-LN(2)/2)*AW68+(1-EXP(-LN(2)/2))/(LN(2)/2)*AQ69*AT69*VLOOKUP('Données projet'!$B$10,Paramètres!$A$1:$I$89,3,0)*0.475*44/12</f>
        <v>1.6788432847920889E-5</v>
      </c>
      <c r="AX69" s="23">
        <f t="shared" si="60"/>
        <v>0.85185841541579854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205.40000000000012</v>
      </c>
      <c r="BE69" s="14">
        <f>BD69*VLOOKUP('Données projet'!$B$11,Paramètres!$A$1:$I$89,3,0)*VLOOKUP('Données projet'!$B$11,Paramètres!$A$1:$I$89,5,0)</f>
        <v>134.57808000000009</v>
      </c>
      <c r="BF69" s="14">
        <f t="shared" ref="BF69:BF132" si="91">EXP(-1.0587+0.8836*LN(BE69)+0.284)</f>
        <v>35.052078941231564</v>
      </c>
      <c r="BG69" s="22">
        <f t="shared" si="61"/>
        <v>295.43919348931178</v>
      </c>
      <c r="BH69" s="62">
        <f t="shared" si="62"/>
        <v>588.77252682264509</v>
      </c>
      <c r="BI69" s="62">
        <f ca="1">AVERAGE(OFFSET($BH$3,0,0,'Données projet'!$E$11+1,1))-AVERAGE(OFFSET($H$3,0,0,'Données projet'!$E$11+1,1))</f>
        <v>154.44480170404967</v>
      </c>
      <c r="BJ69" s="62">
        <f t="shared" ref="BJ69:BJ132" si="92">$BJ$3</f>
        <v>186.45728006007272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4.4000000000000004</v>
      </c>
      <c r="BY69" s="13">
        <f>IF('Données projet'!$A$114&gt;35,BY68+BX69-CG68,IF(A69&lt;'Données projet'!$A$114,$BV$205^A69,IF(A69='Données projet'!$A$114,'Données projet'!$B$114,BY68+BX69-CG68)))</f>
        <v>205.40000000000012</v>
      </c>
      <c r="BZ69" s="14">
        <f>BY69*VLOOKUP('Données projet'!$B$12,Paramètres!$A$1:$I$89,3,0)*VLOOKUP('Données projet'!$B$12,Paramètres!$A$1:$I$89,5,0)</f>
        <v>134.57808000000009</v>
      </c>
      <c r="CA69" s="14">
        <f t="shared" ref="CA69:CA132" si="93">EXP(-1.0587+0.8836*LN(BZ69)+0.284)</f>
        <v>35.052078941231564</v>
      </c>
      <c r="CB69" s="22">
        <f t="shared" si="64"/>
        <v>295.43919348931178</v>
      </c>
      <c r="CC69" s="62">
        <f t="shared" si="65"/>
        <v>588.77252682264509</v>
      </c>
      <c r="CD69" s="62">
        <f ca="1">AVERAGE(OFFSET($CC$3,0,0,'Données projet'!$E$12+1,1))-AVERAGE(OFFSET($H$3,0,0,'Données projet'!$E$12+1,1))</f>
        <v>154.44480170404967</v>
      </c>
      <c r="CE69" s="62">
        <f t="shared" ref="CE69:CE132" si="94">$CE$3</f>
        <v>186.45728006007272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9">
        <f t="shared" si="56"/>
        <v>376.3586705931088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9.5</v>
      </c>
      <c r="N70" s="14">
        <f>IF('Données projet'!$A$36&gt;35,N69+M70-V69,IF(A70&lt;'Données projet'!$A$36,$K$205^A70,IF(A70='Données projet'!$A$36,'Données projet'!$B$36,N69+M70-V69)))</f>
        <v>335.50000000000023</v>
      </c>
      <c r="O70" s="14">
        <f>N70*VLOOKUP('Données projet'!$B$9,Paramètres!$A$1:$I$89,3,0)*VLOOKUP('Données projet'!$B$9,Paramètres!$A$1:$I$89,5,0)</f>
        <v>191.90600000000012</v>
      </c>
      <c r="P70" s="14">
        <f t="shared" si="87"/>
        <v>47.96109727983233</v>
      </c>
      <c r="Q70" s="22">
        <f t="shared" si="54"/>
        <v>417.76852776237479</v>
      </c>
      <c r="R70" s="62">
        <f t="shared" si="55"/>
        <v>711.10186109570805</v>
      </c>
      <c r="S70" s="62">
        <f ca="1">AVERAGE(OFFSET($R$3,0,0,'Données projet'!$E$9+1,1))-AVERAGE(OFFSET($H$3,0,0,'Données projet'!$E$9+1,1))</f>
        <v>178.42783874015521</v>
      </c>
      <c r="T70" s="62">
        <f t="shared" si="88"/>
        <v>140.03904900962556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0.63686062472941019</v>
      </c>
      <c r="AB70" s="23">
        <f>EXP(-LN(2)/2)*AB69+(1-EXP(-LN(2)/2))/(LN(2)/2)*V70*Y70*VLOOKUP('Données projet'!$B$9,Paramètres!$A$1:$I$89,3,0)*0.475*44/12</f>
        <v>1.8529039598039837E-6</v>
      </c>
      <c r="AC70" s="24">
        <f t="shared" si="57"/>
        <v>0.63686247763337001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14.3</v>
      </c>
      <c r="AI70" s="14">
        <f>IF('Données projet'!$A$62&gt;35,AI69+AH70-AQ69,IF(A70&lt;'Données projet'!$A$62,$AF$205^A70,IF(A70='Données projet'!$A$62,'Données projet'!$B$62,AI69+AH70-AQ69)))</f>
        <v>405.10000000000008</v>
      </c>
      <c r="AJ70" s="14">
        <f>AI70*VLOOKUP('Données projet'!$B$10,Paramètres!$A$1:$I$89,3,0)*VLOOKUP('Données projet'!$B$10,Paramètres!$A$1:$I$89,5,0)</f>
        <v>242.24980000000005</v>
      </c>
      <c r="AK70" s="14">
        <f t="shared" si="89"/>
        <v>58.923322739321947</v>
      </c>
      <c r="AL70" s="22">
        <f t="shared" si="58"/>
        <v>524.54318877098581</v>
      </c>
      <c r="AM70" s="62">
        <f t="shared" si="59"/>
        <v>817.87652210431906</v>
      </c>
      <c r="AN70" s="62">
        <f ca="1">AVERAGE(OFFSET($AM$3,0,0,'Données projet'!$E$10+1,1))-AVERAGE(OFFSET($H$3,0,0,'Données projet'!$E$10+1,1))</f>
        <v>216.16876563248064</v>
      </c>
      <c r="AO70" s="62">
        <f t="shared" si="90"/>
        <v>137.55906339137317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0.82854797289669757</v>
      </c>
      <c r="AW70" s="23">
        <f>EXP(-LN(2)/2)*AW69+(1-EXP(-LN(2)/2))/(LN(2)/2)*AQ70*AT70*VLOOKUP('Données projet'!$B$10,Paramètres!$A$1:$I$89,3,0)*0.475*44/12</f>
        <v>1.1871214712259843E-5</v>
      </c>
      <c r="AX70" s="23">
        <f t="shared" si="60"/>
        <v>0.82855984411140982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209.80000000000013</v>
      </c>
      <c r="BE70" s="14">
        <f>BD70*VLOOKUP('Données projet'!$B$11,Paramètres!$A$1:$I$89,3,0)*VLOOKUP('Données projet'!$B$11,Paramètres!$A$1:$I$89,5,0)</f>
        <v>137.46096000000006</v>
      </c>
      <c r="BF70" s="14">
        <f t="shared" si="91"/>
        <v>35.714728952321281</v>
      </c>
      <c r="BG70" s="22">
        <f t="shared" si="61"/>
        <v>301.61432492529298</v>
      </c>
      <c r="BH70" s="62">
        <f t="shared" si="62"/>
        <v>594.94765825862623</v>
      </c>
      <c r="BI70" s="62">
        <f ca="1">AVERAGE(OFFSET($BH$3,0,0,'Données projet'!$E$11+1,1))-AVERAGE(OFFSET($H$3,0,0,'Données projet'!$E$11+1,1))</f>
        <v>154.44480170404967</v>
      </c>
      <c r="BJ70" s="62">
        <f t="shared" si="92"/>
        <v>186.45728006007272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4.4000000000000004</v>
      </c>
      <c r="BY70" s="13">
        <f>IF('Données projet'!$A$114&gt;35,BY69+BX70-CG69,IF(A70&lt;'Données projet'!$A$114,$BV$205^A70,IF(A70='Données projet'!$A$114,'Données projet'!$B$114,BY69+BX70-CG69)))</f>
        <v>209.80000000000013</v>
      </c>
      <c r="BZ70" s="14">
        <f>BY70*VLOOKUP('Données projet'!$B$12,Paramètres!$A$1:$I$89,3,0)*VLOOKUP('Données projet'!$B$12,Paramètres!$A$1:$I$89,5,0)</f>
        <v>137.46096000000006</v>
      </c>
      <c r="CA70" s="14">
        <f t="shared" si="93"/>
        <v>35.714728952321281</v>
      </c>
      <c r="CB70" s="22">
        <f t="shared" si="64"/>
        <v>301.61432492529298</v>
      </c>
      <c r="CC70" s="62">
        <f t="shared" si="65"/>
        <v>594.94765825862623</v>
      </c>
      <c r="CD70" s="62">
        <f ca="1">AVERAGE(OFFSET($CC$3,0,0,'Données projet'!$E$12+1,1))-AVERAGE(OFFSET($H$3,0,0,'Données projet'!$E$12+1,1))</f>
        <v>154.44480170404967</v>
      </c>
      <c r="CE70" s="62">
        <f t="shared" si="94"/>
        <v>186.45728006007272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9">
        <f t="shared" si="56"/>
        <v>377.56408426409683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9.5</v>
      </c>
      <c r="N71" s="14">
        <f>IF('Données projet'!$A$36&gt;35,N70+M71-V70,IF(A71&lt;'Données projet'!$A$36,$K$205^A71,IF(A71='Données projet'!$A$36,'Données projet'!$B$36,N70+M71-V70)))</f>
        <v>345.00000000000023</v>
      </c>
      <c r="O71" s="14">
        <f>N71*VLOOKUP('Données projet'!$B$9,Paramètres!$A$1:$I$89,3,0)*VLOOKUP('Données projet'!$B$9,Paramètres!$A$1:$I$89,5,0)</f>
        <v>197.34000000000015</v>
      </c>
      <c r="P71" s="14">
        <f t="shared" si="87"/>
        <v>49.15912547427002</v>
      </c>
      <c r="Q71" s="22">
        <f t="shared" si="54"/>
        <v>429.31931020102047</v>
      </c>
      <c r="R71" s="62">
        <f t="shared" si="55"/>
        <v>722.65264353435373</v>
      </c>
      <c r="S71" s="62">
        <f ca="1">AVERAGE(OFFSET($R$3,0,0,'Données projet'!$E$9+1,1))-AVERAGE(OFFSET($H$3,0,0,'Données projet'!$E$9+1,1))</f>
        <v>178.42783874015521</v>
      </c>
      <c r="T71" s="62">
        <f t="shared" si="88"/>
        <v>140.03904900962556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0.61944563745513981</v>
      </c>
      <c r="AB71" s="23">
        <f>EXP(-LN(2)/2)*AB70+(1-EXP(-LN(2)/2))/(LN(2)/2)*V71*Y71*VLOOKUP('Données projet'!$B$9,Paramètres!$A$1:$I$89,3,0)*0.475*44/12</f>
        <v>1.3102009548648031E-6</v>
      </c>
      <c r="AC71" s="24">
        <f t="shared" si="57"/>
        <v>0.61944694765609465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14.3</v>
      </c>
      <c r="AI71" s="14">
        <f>IF('Données projet'!$A$62&gt;35,AI70+AH71-AQ70,IF(A71&lt;'Données projet'!$A$62,$AF$205^A71,IF(A71='Données projet'!$A$62,'Données projet'!$B$62,AI70+AH71-AQ70)))</f>
        <v>419.40000000000009</v>
      </c>
      <c r="AJ71" s="14">
        <f>AI71*VLOOKUP('Données projet'!$B$10,Paramètres!$A$1:$I$89,3,0)*VLOOKUP('Données projet'!$B$10,Paramètres!$A$1:$I$89,5,0)</f>
        <v>250.80120000000008</v>
      </c>
      <c r="AK71" s="14">
        <f t="shared" si="89"/>
        <v>60.757473811682686</v>
      </c>
      <c r="AL71" s="22">
        <f t="shared" si="58"/>
        <v>542.63135688868078</v>
      </c>
      <c r="AM71" s="62">
        <f t="shared" si="59"/>
        <v>835.96469022201404</v>
      </c>
      <c r="AN71" s="62">
        <f ca="1">AVERAGE(OFFSET($AM$3,0,0,'Données projet'!$E$10+1,1))-AVERAGE(OFFSET($H$3,0,0,'Données projet'!$E$10+1,1))</f>
        <v>216.16876563248064</v>
      </c>
      <c r="AO71" s="62">
        <f t="shared" si="90"/>
        <v>137.55906339137317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0.80589128500639318</v>
      </c>
      <c r="AW71" s="23">
        <f>EXP(-LN(2)/2)*AW70+(1-EXP(-LN(2)/2))/(LN(2)/2)*AQ71*AT71*VLOOKUP('Données projet'!$B$10,Paramètres!$A$1:$I$89,3,0)*0.475*44/12</f>
        <v>8.3942164239604447E-6</v>
      </c>
      <c r="AX71" s="23">
        <f t="shared" si="60"/>
        <v>0.80589967922281713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214.20000000000013</v>
      </c>
      <c r="BE71" s="14">
        <f>BD71*VLOOKUP('Données projet'!$B$11,Paramètres!$A$1:$I$89,3,0)*VLOOKUP('Données projet'!$B$11,Paramètres!$A$1:$I$89,5,0)</f>
        <v>140.34384000000009</v>
      </c>
      <c r="BF71" s="14">
        <f t="shared" si="91"/>
        <v>36.375763161759316</v>
      </c>
      <c r="BG71" s="22">
        <f t="shared" si="61"/>
        <v>307.78664217339764</v>
      </c>
      <c r="BH71" s="62">
        <f t="shared" si="62"/>
        <v>601.11997550673095</v>
      </c>
      <c r="BI71" s="62">
        <f ca="1">AVERAGE(OFFSET($BH$3,0,0,'Données projet'!$E$11+1,1))-AVERAGE(OFFSET($H$3,0,0,'Données projet'!$E$11+1,1))</f>
        <v>154.44480170404967</v>
      </c>
      <c r="BJ71" s="62">
        <f t="shared" si="92"/>
        <v>186.45728006007272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4.4000000000000004</v>
      </c>
      <c r="BY71" s="13">
        <f>IF('Données projet'!$A$114&gt;35,BY70+BX71-CG70,IF(A71&lt;'Données projet'!$A$114,$BV$205^A71,IF(A71='Données projet'!$A$114,'Données projet'!$B$114,BY70+BX71-CG70)))</f>
        <v>214.20000000000013</v>
      </c>
      <c r="BZ71" s="14">
        <f>BY71*VLOOKUP('Données projet'!$B$12,Paramètres!$A$1:$I$89,3,0)*VLOOKUP('Données projet'!$B$12,Paramètres!$A$1:$I$89,5,0)</f>
        <v>140.34384000000009</v>
      </c>
      <c r="CA71" s="14">
        <f t="shared" si="93"/>
        <v>36.375763161759316</v>
      </c>
      <c r="CB71" s="22">
        <f t="shared" si="64"/>
        <v>307.78664217339764</v>
      </c>
      <c r="CC71" s="62">
        <f t="shared" si="65"/>
        <v>601.11997550673095</v>
      </c>
      <c r="CD71" s="62">
        <f ca="1">AVERAGE(OFFSET($CC$3,0,0,'Données projet'!$E$12+1,1))-AVERAGE(OFFSET($H$3,0,0,'Données projet'!$E$12+1,1))</f>
        <v>154.44480170404967</v>
      </c>
      <c r="CE71" s="62">
        <f t="shared" si="94"/>
        <v>186.45728006007272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9">
        <f t="shared" si="56"/>
        <v>378.76906270916135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9.5</v>
      </c>
      <c r="N72" s="14">
        <f>IF('Données projet'!$A$36&gt;35,N71+M72-V71,IF(A72&lt;'Données projet'!$A$36,$K$205^A72,IF(A72='Données projet'!$A$36,'Données projet'!$B$36,N71+M72-V71)))</f>
        <v>354.50000000000023</v>
      </c>
      <c r="O72" s="14">
        <f>N72*VLOOKUP('Données projet'!$B$9,Paramètres!$A$1:$I$89,3,0)*VLOOKUP('Données projet'!$B$9,Paramètres!$A$1:$I$89,5,0)</f>
        <v>202.77400000000014</v>
      </c>
      <c r="P72" s="14">
        <f t="shared" si="87"/>
        <v>50.353319363225992</v>
      </c>
      <c r="Q72" s="22">
        <f t="shared" si="54"/>
        <v>440.86341455761885</v>
      </c>
      <c r="R72" s="62">
        <f t="shared" si="55"/>
        <v>734.19674789095211</v>
      </c>
      <c r="S72" s="62">
        <f ca="1">AVERAGE(OFFSET($R$3,0,0,'Données projet'!$E$9+1,1))-AVERAGE(OFFSET($H$3,0,0,'Données projet'!$E$9+1,1))</f>
        <v>178.42783874015521</v>
      </c>
      <c r="T72" s="62">
        <f t="shared" si="88"/>
        <v>140.03904900962556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0.60250686392369868</v>
      </c>
      <c r="AB72" s="23">
        <f>EXP(-LN(2)/2)*AB71+(1-EXP(-LN(2)/2))/(LN(2)/2)*V72*Y72*VLOOKUP('Données projet'!$B$9,Paramètres!$A$1:$I$89,3,0)*0.475*44/12</f>
        <v>9.2645197990199206E-7</v>
      </c>
      <c r="AC72" s="24">
        <f t="shared" si="57"/>
        <v>0.60250779037567859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14.3</v>
      </c>
      <c r="AI72" s="14">
        <f>IF('Données projet'!$A$62&gt;35,AI71+AH72-AQ71,IF(A72&lt;'Données projet'!$A$62,$AF$205^A72,IF(A72='Données projet'!$A$62,'Données projet'!$B$62,AI71+AH72-AQ71)))</f>
        <v>433.7000000000001</v>
      </c>
      <c r="AJ72" s="14">
        <f>AI72*VLOOKUP('Données projet'!$B$10,Paramètres!$A$1:$I$89,3,0)*VLOOKUP('Données projet'!$B$10,Paramètres!$A$1:$I$89,5,0)</f>
        <v>259.35260000000011</v>
      </c>
      <c r="AK72" s="14">
        <f t="shared" si="89"/>
        <v>62.58435842101963</v>
      </c>
      <c r="AL72" s="22">
        <f t="shared" si="58"/>
        <v>560.70686924994277</v>
      </c>
      <c r="AM72" s="62">
        <f t="shared" si="59"/>
        <v>854.04020258327614</v>
      </c>
      <c r="AN72" s="62">
        <f ca="1">AVERAGE(OFFSET($AM$3,0,0,'Données projet'!$E$10+1,1))-AVERAGE(OFFSET($H$3,0,0,'Données projet'!$E$10+1,1))</f>
        <v>216.16876563248064</v>
      </c>
      <c r="AO72" s="62">
        <f t="shared" si="90"/>
        <v>137.55906339137317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0.78385414543791254</v>
      </c>
      <c r="AW72" s="23">
        <f>EXP(-LN(2)/2)*AW71+(1-EXP(-LN(2)/2))/(LN(2)/2)*AQ72*AT72*VLOOKUP('Données projet'!$B$10,Paramètres!$A$1:$I$89,3,0)*0.475*44/12</f>
        <v>5.9356073561299217E-6</v>
      </c>
      <c r="AX72" s="23">
        <f t="shared" si="60"/>
        <v>0.78386008104526872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218.60000000000014</v>
      </c>
      <c r="BE72" s="14">
        <f>BD72*VLOOKUP('Données projet'!$B$11,Paramètres!$A$1:$I$89,3,0)*VLOOKUP('Données projet'!$B$11,Paramètres!$A$1:$I$89,5,0)</f>
        <v>143.22672000000009</v>
      </c>
      <c r="BF72" s="14">
        <f t="shared" si="91"/>
        <v>37.035218585047694</v>
      </c>
      <c r="BG72" s="22">
        <f t="shared" si="61"/>
        <v>313.95620970229157</v>
      </c>
      <c r="BH72" s="62">
        <f t="shared" si="62"/>
        <v>607.28954303562489</v>
      </c>
      <c r="BI72" s="62">
        <f ca="1">AVERAGE(OFFSET($BH$3,0,0,'Données projet'!$E$11+1,1))-AVERAGE(OFFSET($H$3,0,0,'Données projet'!$E$11+1,1))</f>
        <v>154.44480170404967</v>
      </c>
      <c r="BJ72" s="62">
        <f t="shared" si="92"/>
        <v>186.45728006007272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4.4000000000000004</v>
      </c>
      <c r="BY72" s="13">
        <f>IF('Données projet'!$A$114&gt;35,BY71+BX72-CG71,IF(A72&lt;'Données projet'!$A$114,$BV$205^A72,IF(A72='Données projet'!$A$114,'Données projet'!$B$114,BY71+BX72-CG71)))</f>
        <v>218.60000000000014</v>
      </c>
      <c r="BZ72" s="14">
        <f>BY72*VLOOKUP('Données projet'!$B$12,Paramètres!$A$1:$I$89,3,0)*VLOOKUP('Données projet'!$B$12,Paramètres!$A$1:$I$89,5,0)</f>
        <v>143.22672000000009</v>
      </c>
      <c r="CA72" s="14">
        <f t="shared" si="93"/>
        <v>37.035218585047694</v>
      </c>
      <c r="CB72" s="22">
        <f t="shared" si="64"/>
        <v>313.95620970229157</v>
      </c>
      <c r="CC72" s="62">
        <f t="shared" si="65"/>
        <v>607.28954303562489</v>
      </c>
      <c r="CD72" s="62">
        <f ca="1">AVERAGE(OFFSET($CC$3,0,0,'Données projet'!$E$12+1,1))-AVERAGE(OFFSET($H$3,0,0,'Données projet'!$E$12+1,1))</f>
        <v>154.44480170404967</v>
      </c>
      <c r="CE72" s="62">
        <f t="shared" si="94"/>
        <v>186.45728006007272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9">
        <f t="shared" si="56"/>
        <v>379.97361296469114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364</v>
      </c>
      <c r="L73" s="13">
        <f>VLOOKUP(A73,'Données projet'!$A$35:$I$55,9,0)</f>
        <v>9.5</v>
      </c>
      <c r="M73" s="13">
        <f t="array" ref="M73">INDEX(L:L,MIN(IF(ISNUMBER(L73:L269),ROW(L73:L269),"")))</f>
        <v>9.5</v>
      </c>
      <c r="N73" s="14">
        <f>IF('Données projet'!$A$36&gt;35,N72+M73-V72,IF(A73&lt;'Données projet'!$A$36,$K$205^A73,IF(A73='Données projet'!$A$36,'Données projet'!$B$36,N72+M73-V72)))</f>
        <v>364.00000000000023</v>
      </c>
      <c r="O73" s="14">
        <f>N73*VLOOKUP('Données projet'!$B$9,Paramètres!$A$1:$I$89,3,0)*VLOOKUP('Données projet'!$B$9,Paramètres!$A$1:$I$89,5,0)</f>
        <v>208.20800000000014</v>
      </c>
      <c r="P73" s="14">
        <f t="shared" si="87"/>
        <v>51.543793509070333</v>
      </c>
      <c r="Q73" s="22">
        <f t="shared" si="54"/>
        <v>452.40104036163103</v>
      </c>
      <c r="R73" s="62">
        <f t="shared" si="55"/>
        <v>745.73437369496435</v>
      </c>
      <c r="S73" s="62">
        <f ca="1">AVERAGE(OFFSET($R$3,0,0,'Données projet'!$E$9+1,1))-AVERAGE(OFFSET($H$3,0,0,'Données projet'!$E$9+1,1))</f>
        <v>178.42783874015521</v>
      </c>
      <c r="T73" s="62">
        <f t="shared" si="88"/>
        <v>140.03904900962556</v>
      </c>
      <c r="U73" s="16">
        <f>IF(ISNA(VLOOKUP(A73,'Données projet'!$A$35:$I$55,3,0)),0,VLOOKUP(A73,'Données projet'!$A$35:$I$55,3,0))</f>
        <v>7</v>
      </c>
      <c r="V73" s="16">
        <f>IF(ISNA(VLOOKUP(A73,'Données projet'!$A$35:$I$55,4,0)),0,VLOOKUP(A73,'Données projet'!$A$35:$I$55,4,0))</f>
        <v>52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0.58603128204524624</v>
      </c>
      <c r="AB73" s="23">
        <f>EXP(-LN(2)/2)*AB72+(1-EXP(-LN(2)/2))/(LN(2)/2)*V73*Y73*VLOOKUP('Données projet'!$B$9,Paramètres!$A$1:$I$89,3,0)*0.475*44/12</f>
        <v>6.5510047743240166E-7</v>
      </c>
      <c r="AC73" s="24">
        <f t="shared" si="57"/>
        <v>0.58603193714572366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448</v>
      </c>
      <c r="AG73" s="13">
        <f>VLOOKUP(A73,'Données projet'!$A$61:$I$81,9,0)</f>
        <v>14.3</v>
      </c>
      <c r="AH73" s="13">
        <f t="array" ref="AH73">INDEX(AG:AG,MIN(IF(ISNUMBER(AG73:AG269),ROW(AG73:AG269),"")))</f>
        <v>14.3</v>
      </c>
      <c r="AI73" s="14">
        <f>IF('Données projet'!$A$62&gt;35,AI72+AH73-AQ72,IF(A73&lt;'Données projet'!$A$62,$AF$205^A73,IF(A73='Données projet'!$A$62,'Données projet'!$B$62,AI72+AH73-AQ72)))</f>
        <v>448.00000000000011</v>
      </c>
      <c r="AJ73" s="14">
        <f>AI73*VLOOKUP('Données projet'!$B$10,Paramètres!$A$1:$I$89,3,0)*VLOOKUP('Données projet'!$B$10,Paramètres!$A$1:$I$89,5,0)</f>
        <v>267.90400000000011</v>
      </c>
      <c r="AK73" s="14">
        <f t="shared" si="89"/>
        <v>64.404243631863267</v>
      </c>
      <c r="AL73" s="22">
        <f t="shared" si="58"/>
        <v>578.77019099216204</v>
      </c>
      <c r="AM73" s="62">
        <f t="shared" si="59"/>
        <v>872.1035243254953</v>
      </c>
      <c r="AN73" s="62">
        <f ca="1">AVERAGE(OFFSET($AM$3,0,0,'Données projet'!$E$10+1,1))-AVERAGE(OFFSET($H$3,0,0,'Données projet'!$E$10+1,1))</f>
        <v>216.16876563248064</v>
      </c>
      <c r="AO73" s="62">
        <f t="shared" si="90"/>
        <v>137.55906339137317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78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0.76241961260981483</v>
      </c>
      <c r="AW73" s="23">
        <f>EXP(-LN(2)/2)*AW72+(1-EXP(-LN(2)/2))/(LN(2)/2)*AQ73*AT73*VLOOKUP('Données projet'!$B$10,Paramètres!$A$1:$I$89,3,0)*0.475*44/12</f>
        <v>4.1971082119802224E-6</v>
      </c>
      <c r="AX73" s="23">
        <f t="shared" si="60"/>
        <v>0.76242380971802681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223</v>
      </c>
      <c r="BB73" s="13">
        <f>VLOOKUP(A73,'Données projet'!$A$87:$I$107,9,0)</f>
        <v>4.4000000000000004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223.00000000000014</v>
      </c>
      <c r="BE73" s="14">
        <f>BD73*VLOOKUP('Données projet'!$B$11,Paramètres!$A$1:$I$89,3,0)*VLOOKUP('Données projet'!$B$11,Paramètres!$A$1:$I$89,5,0)</f>
        <v>146.10960000000009</v>
      </c>
      <c r="BF73" s="14">
        <f t="shared" si="91"/>
        <v>37.693130662388469</v>
      </c>
      <c r="BG73" s="22">
        <f t="shared" si="61"/>
        <v>320.12308923699339</v>
      </c>
      <c r="BH73" s="62">
        <f t="shared" si="62"/>
        <v>613.45642257032671</v>
      </c>
      <c r="BI73" s="62">
        <f ca="1">AVERAGE(OFFSET($BH$3,0,0,'Données projet'!$E$11+1,1))-AVERAGE(OFFSET($H$3,0,0,'Données projet'!$E$11+1,1))</f>
        <v>154.44480170404967</v>
      </c>
      <c r="BJ73" s="62">
        <f t="shared" si="92"/>
        <v>186.45728006007272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35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223</v>
      </c>
      <c r="BW73" s="13">
        <f>VLOOKUP(A73,'Données projet'!$A$113:$I$133,9,0)</f>
        <v>4.4000000000000004</v>
      </c>
      <c r="BX73" s="13">
        <f t="array" ref="BX73">INDEX(BW:BW,MIN(IF(ISNUMBER(BW73:BW269),ROW(BW73:BW269),"")))</f>
        <v>4.4000000000000004</v>
      </c>
      <c r="BY73" s="13">
        <f>IF('Données projet'!$A$114&gt;35,BY72+BX73-CG72,IF(A73&lt;'Données projet'!$A$114,$BV$205^A73,IF(A73='Données projet'!$A$114,'Données projet'!$B$114,BY72+BX73-CG72)))</f>
        <v>223.00000000000014</v>
      </c>
      <c r="BZ73" s="14">
        <f>BY73*VLOOKUP('Données projet'!$B$12,Paramètres!$A$1:$I$89,3,0)*VLOOKUP('Données projet'!$B$12,Paramètres!$A$1:$I$89,5,0)</f>
        <v>146.10960000000009</v>
      </c>
      <c r="CA73" s="14">
        <f t="shared" si="93"/>
        <v>37.693130662388469</v>
      </c>
      <c r="CB73" s="22">
        <f t="shared" si="64"/>
        <v>320.12308923699339</v>
      </c>
      <c r="CC73" s="62">
        <f t="shared" si="65"/>
        <v>613.45642257032671</v>
      </c>
      <c r="CD73" s="62">
        <f ca="1">AVERAGE(OFFSET($CC$3,0,0,'Données projet'!$E$12+1,1))-AVERAGE(OFFSET($H$3,0,0,'Données projet'!$E$12+1,1))</f>
        <v>154.44480170404967</v>
      </c>
      <c r="CE73" s="62">
        <f t="shared" si="94"/>
        <v>186.45728006007272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9">
        <f t="shared" si="56"/>
        <v>381.17774185449025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8.3000000000000007</v>
      </c>
      <c r="N74" s="14">
        <f>IF('Données projet'!$A$36&gt;35,N73+M74-V73,IF(A74&lt;'Données projet'!$A$36,$K$205^A74,IF(A74='Données projet'!$A$36,'Données projet'!$B$36,N73+M74-V73)))</f>
        <v>320.30000000000024</v>
      </c>
      <c r="O74" s="14">
        <f>N74*VLOOKUP('Données projet'!$B$9,Paramètres!$A$1:$I$89,3,0)*VLOOKUP('Données projet'!$B$9,Paramètres!$A$1:$I$89,5,0)</f>
        <v>183.21160000000015</v>
      </c>
      <c r="P74" s="14">
        <f t="shared" si="87"/>
        <v>46.035970904955342</v>
      </c>
      <c r="Q74" s="22">
        <f t="shared" si="54"/>
        <v>399.27285265946415</v>
      </c>
      <c r="R74" s="62">
        <f t="shared" si="55"/>
        <v>692.60618599279746</v>
      </c>
      <c r="S74" s="62">
        <f ca="1">AVERAGE(OFFSET($R$3,0,0,'Données projet'!$E$9+1,1))-AVERAGE(OFFSET($H$3,0,0,'Données projet'!$E$9+1,1))</f>
        <v>178.42783874015521</v>
      </c>
      <c r="T74" s="62">
        <f t="shared" si="88"/>
        <v>140.03904900962556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0.5700062258196732</v>
      </c>
      <c r="AB74" s="23">
        <f>EXP(-LN(2)/2)*AB73+(1-EXP(-LN(2)/2))/(LN(2)/2)*V74*Y74*VLOOKUP('Données projet'!$B$9,Paramètres!$A$1:$I$89,3,0)*0.475*44/12</f>
        <v>4.6322598995099609E-7</v>
      </c>
      <c r="AC74" s="24">
        <f t="shared" si="57"/>
        <v>0.5700066890456631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</v>
      </c>
      <c r="AI74" s="14">
        <f>IF('Données projet'!$A$62&gt;35,AI73+AH74-AQ73,IF(A74&lt;'Données projet'!$A$62,$AF$205^A74,IF(A74='Données projet'!$A$62,'Données projet'!$B$62,AI73+AH74-AQ73)))</f>
        <v>379.00000000000011</v>
      </c>
      <c r="AJ74" s="14">
        <f>AI74*VLOOKUP('Données projet'!$B$10,Paramètres!$A$1:$I$89,3,0)*VLOOKUP('Données projet'!$B$10,Paramètres!$A$1:$I$89,5,0)</f>
        <v>226.64200000000008</v>
      </c>
      <c r="AK74" s="14">
        <f t="shared" si="89"/>
        <v>55.555983079812862</v>
      </c>
      <c r="AL74" s="22">
        <f t="shared" si="58"/>
        <v>491.49482053067413</v>
      </c>
      <c r="AM74" s="62">
        <f t="shared" si="59"/>
        <v>784.82815386400739</v>
      </c>
      <c r="AN74" s="62">
        <f ca="1">AVERAGE(OFFSET($AM$3,0,0,'Données projet'!$E$10+1,1))-AVERAGE(OFFSET($H$3,0,0,'Données projet'!$E$10+1,1))</f>
        <v>216.16876563248064</v>
      </c>
      <c r="AO74" s="62">
        <f t="shared" si="90"/>
        <v>137.55906339137317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0.7415712082090945</v>
      </c>
      <c r="AW74" s="23">
        <f>EXP(-LN(2)/2)*AW73+(1-EXP(-LN(2)/2))/(LN(2)/2)*AQ74*AT74*VLOOKUP('Données projet'!$B$10,Paramètres!$A$1:$I$89,3,0)*0.475*44/12</f>
        <v>2.9678036780649608E-6</v>
      </c>
      <c r="AX74" s="23">
        <f t="shared" si="60"/>
        <v>0.74157417601277253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192.00000000000014</v>
      </c>
      <c r="BE74" s="14">
        <f>BD74*VLOOKUP('Données projet'!$B$11,Paramètres!$A$1:$I$89,3,0)*VLOOKUP('Données projet'!$B$11,Paramètres!$A$1:$I$89,5,0)</f>
        <v>125.7984000000001</v>
      </c>
      <c r="BF74" s="14">
        <f t="shared" si="91"/>
        <v>33.023644363399953</v>
      </c>
      <c r="BG74" s="22">
        <f t="shared" si="61"/>
        <v>276.61506059958839</v>
      </c>
      <c r="BH74" s="62">
        <f t="shared" si="62"/>
        <v>569.9483939329217</v>
      </c>
      <c r="BI74" s="62">
        <f ca="1">AVERAGE(OFFSET($BH$3,0,0,'Données projet'!$E$11+1,1))-AVERAGE(OFFSET($H$3,0,0,'Données projet'!$E$11+1,1))</f>
        <v>154.44480170404967</v>
      </c>
      <c r="BJ74" s="62">
        <f t="shared" si="92"/>
        <v>186.45728006007272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</v>
      </c>
      <c r="BY74" s="13">
        <f>IF('Données projet'!$A$114&gt;35,BY73+BX74-CG73,IF(A74&lt;'Données projet'!$A$114,$BV$205^A74,IF(A74='Données projet'!$A$114,'Données projet'!$B$114,BY73+BX74-CG73)))</f>
        <v>192.00000000000014</v>
      </c>
      <c r="BZ74" s="14">
        <f>BY74*VLOOKUP('Données projet'!$B$12,Paramètres!$A$1:$I$89,3,0)*VLOOKUP('Données projet'!$B$12,Paramètres!$A$1:$I$89,5,0)</f>
        <v>125.7984000000001</v>
      </c>
      <c r="CA74" s="14">
        <f t="shared" si="93"/>
        <v>33.023644363399953</v>
      </c>
      <c r="CB74" s="22">
        <f t="shared" si="64"/>
        <v>276.61506059958839</v>
      </c>
      <c r="CC74" s="62">
        <f t="shared" si="65"/>
        <v>569.9483939329217</v>
      </c>
      <c r="CD74" s="62">
        <f ca="1">AVERAGE(OFFSET($CC$3,0,0,'Données projet'!$E$12+1,1))-AVERAGE(OFFSET($H$3,0,0,'Données projet'!$E$12+1,1))</f>
        <v>154.44480170404967</v>
      </c>
      <c r="CE74" s="62">
        <f t="shared" si="94"/>
        <v>186.45728006007272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9">
        <f t="shared" si="56"/>
        <v>382.38145599910195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8.3000000000000007</v>
      </c>
      <c r="N75" s="14">
        <f>IF('Données projet'!$A$36&gt;35,N74+M75-V74,IF(A75&lt;'Données projet'!$A$36,$K$205^A75,IF(A75='Données projet'!$A$36,'Données projet'!$B$36,N74+M75-V74)))</f>
        <v>328.60000000000025</v>
      </c>
      <c r="O75" s="14">
        <f>N75*VLOOKUP('Données projet'!$B$9,Paramètres!$A$1:$I$89,3,0)*VLOOKUP('Données projet'!$B$9,Paramètres!$A$1:$I$89,5,0)</f>
        <v>187.95920000000015</v>
      </c>
      <c r="P75" s="14">
        <f t="shared" si="87"/>
        <v>47.088477759834014</v>
      </c>
      <c r="Q75" s="22">
        <f t="shared" si="54"/>
        <v>409.37470543171111</v>
      </c>
      <c r="R75" s="62">
        <f t="shared" si="55"/>
        <v>702.70803876504442</v>
      </c>
      <c r="S75" s="62">
        <f ca="1">AVERAGE(OFFSET($R$3,0,0,'Données projet'!$E$9+1,1))-AVERAGE(OFFSET($H$3,0,0,'Données projet'!$E$9+1,1))</f>
        <v>178.42783874015521</v>
      </c>
      <c r="T75" s="62">
        <f t="shared" si="88"/>
        <v>140.03904900962556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0.55441937559930954</v>
      </c>
      <c r="AB75" s="23">
        <f>EXP(-LN(2)/2)*AB74+(1-EXP(-LN(2)/2))/(LN(2)/2)*V75*Y75*VLOOKUP('Données projet'!$B$9,Paramètres!$A$1:$I$89,3,0)*0.475*44/12</f>
        <v>3.2755023871620088E-7</v>
      </c>
      <c r="AC75" s="24">
        <f t="shared" si="57"/>
        <v>0.55441970314954825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</v>
      </c>
      <c r="AI75" s="14">
        <f>IF('Données projet'!$A$62&gt;35,AI74+AH75-AQ74,IF(A75&lt;'Données projet'!$A$62,$AF$205^A75,IF(A75='Données projet'!$A$62,'Données projet'!$B$62,AI74+AH75-AQ74)))</f>
        <v>388.00000000000011</v>
      </c>
      <c r="AJ75" s="14">
        <f>AI75*VLOOKUP('Données projet'!$B$10,Paramètres!$A$1:$I$89,3,0)*VLOOKUP('Données projet'!$B$10,Paramètres!$A$1:$I$89,5,0)</f>
        <v>232.02400000000006</v>
      </c>
      <c r="AK75" s="14">
        <f t="shared" si="89"/>
        <v>56.720094243161071</v>
      </c>
      <c r="AL75" s="22">
        <f t="shared" si="58"/>
        <v>502.89596414017234</v>
      </c>
      <c r="AM75" s="62">
        <f t="shared" si="59"/>
        <v>796.22929747350565</v>
      </c>
      <c r="AN75" s="62">
        <f ca="1">AVERAGE(OFFSET($AM$3,0,0,'Données projet'!$E$10+1,1))-AVERAGE(OFFSET($H$3,0,0,'Données projet'!$E$10+1,1))</f>
        <v>216.16876563248064</v>
      </c>
      <c r="AO75" s="62">
        <f t="shared" si="90"/>
        <v>137.55906339137317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0.72129290452308181</v>
      </c>
      <c r="AW75" s="23">
        <f>EXP(-LN(2)/2)*AW74+(1-EXP(-LN(2)/2))/(LN(2)/2)*AQ75*AT75*VLOOKUP('Données projet'!$B$10,Paramètres!$A$1:$I$89,3,0)*0.475*44/12</f>
        <v>2.0985541059901112E-6</v>
      </c>
      <c r="AX75" s="23">
        <f t="shared" si="60"/>
        <v>0.72129500307718786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196.00000000000014</v>
      </c>
      <c r="BE75" s="14">
        <f>BD75*VLOOKUP('Données projet'!$B$11,Paramètres!$A$1:$I$89,3,0)*VLOOKUP('Données projet'!$B$11,Paramètres!$A$1:$I$89,5,0)</f>
        <v>128.41920000000007</v>
      </c>
      <c r="BF75" s="14">
        <f t="shared" si="91"/>
        <v>33.630823177860762</v>
      </c>
      <c r="BG75" s="22">
        <f t="shared" si="61"/>
        <v>282.23712370144091</v>
      </c>
      <c r="BH75" s="62">
        <f t="shared" si="62"/>
        <v>575.57045703477422</v>
      </c>
      <c r="BI75" s="62">
        <f ca="1">AVERAGE(OFFSET($BH$3,0,0,'Données projet'!$E$11+1,1))-AVERAGE(OFFSET($H$3,0,0,'Données projet'!$E$11+1,1))</f>
        <v>154.44480170404967</v>
      </c>
      <c r="BJ75" s="62">
        <f t="shared" si="92"/>
        <v>186.45728006007272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</v>
      </c>
      <c r="BY75" s="13">
        <f>IF('Données projet'!$A$114&gt;35,BY74+BX75-CG74,IF(A75&lt;'Données projet'!$A$114,$BV$205^A75,IF(A75='Données projet'!$A$114,'Données projet'!$B$114,BY74+BX75-CG74)))</f>
        <v>196.00000000000014</v>
      </c>
      <c r="BZ75" s="14">
        <f>BY75*VLOOKUP('Données projet'!$B$12,Paramètres!$A$1:$I$89,3,0)*VLOOKUP('Données projet'!$B$12,Paramètres!$A$1:$I$89,5,0)</f>
        <v>128.41920000000007</v>
      </c>
      <c r="CA75" s="14">
        <f t="shared" si="93"/>
        <v>33.630823177860762</v>
      </c>
      <c r="CB75" s="22">
        <f t="shared" si="64"/>
        <v>282.23712370144091</v>
      </c>
      <c r="CC75" s="62">
        <f t="shared" si="65"/>
        <v>575.57045703477422</v>
      </c>
      <c r="CD75" s="62">
        <f ca="1">AVERAGE(OFFSET($CC$3,0,0,'Données projet'!$E$12+1,1))-AVERAGE(OFFSET($H$3,0,0,'Données projet'!$E$12+1,1))</f>
        <v>154.44480170404967</v>
      </c>
      <c r="CE75" s="62">
        <f t="shared" si="94"/>
        <v>186.45728006007272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9">
        <f t="shared" si="56"/>
        <v>383.58476182460123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8.3000000000000007</v>
      </c>
      <c r="N76" s="14">
        <f>IF('Données projet'!$A$36&gt;35,N75+M76-V75,IF(A76&lt;'Données projet'!$A$36,$K$205^A76,IF(A76='Données projet'!$A$36,'Données projet'!$B$36,N75+M76-V75)))</f>
        <v>336.90000000000026</v>
      </c>
      <c r="O76" s="14">
        <f>N76*VLOOKUP('Données projet'!$B$9,Paramètres!$A$1:$I$89,3,0)*VLOOKUP('Données projet'!$B$9,Paramètres!$A$1:$I$89,5,0)</f>
        <v>192.70680000000013</v>
      </c>
      <c r="P76" s="14">
        <f t="shared" si="87"/>
        <v>48.137894326591152</v>
      </c>
      <c r="Q76" s="22">
        <f t="shared" si="54"/>
        <v>419.4711759521465</v>
      </c>
      <c r="R76" s="62">
        <f t="shared" si="55"/>
        <v>712.80450928547975</v>
      </c>
      <c r="S76" s="62">
        <f ca="1">AVERAGE(OFFSET($R$3,0,0,'Données projet'!$E$9+1,1))-AVERAGE(OFFSET($H$3,0,0,'Données projet'!$E$9+1,1))</f>
        <v>178.42783874015521</v>
      </c>
      <c r="T76" s="62">
        <f t="shared" si="88"/>
        <v>140.03904900962556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0.53925874861789858</v>
      </c>
      <c r="AB76" s="23">
        <f>EXP(-LN(2)/2)*AB75+(1-EXP(-LN(2)/2))/(LN(2)/2)*V76*Y76*VLOOKUP('Données projet'!$B$9,Paramètres!$A$1:$I$89,3,0)*0.475*44/12</f>
        <v>2.3161299497549807E-7</v>
      </c>
      <c r="AC76" s="24">
        <f t="shared" si="57"/>
        <v>0.53925898023089358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</v>
      </c>
      <c r="AI76" s="14">
        <f>IF('Données projet'!$A$62&gt;35,AI75+AH76-AQ75,IF(A76&lt;'Données projet'!$A$62,$AF$205^A76,IF(A76='Données projet'!$A$62,'Données projet'!$B$62,AI75+AH76-AQ75)))</f>
        <v>397.00000000000011</v>
      </c>
      <c r="AJ76" s="14">
        <f>AI76*VLOOKUP('Données projet'!$B$10,Paramètres!$A$1:$I$89,3,0)*VLOOKUP('Données projet'!$B$10,Paramètres!$A$1:$I$89,5,0)</f>
        <v>237.40600000000009</v>
      </c>
      <c r="AK76" s="14">
        <f t="shared" si="89"/>
        <v>57.881066248213493</v>
      </c>
      <c r="AL76" s="22">
        <f t="shared" si="58"/>
        <v>514.29164038230522</v>
      </c>
      <c r="AM76" s="62">
        <f t="shared" si="59"/>
        <v>807.62497371563859</v>
      </c>
      <c r="AN76" s="62">
        <f ca="1">AVERAGE(OFFSET($AM$3,0,0,'Données projet'!$E$10+1,1))-AVERAGE(OFFSET($H$3,0,0,'Données projet'!$E$10+1,1))</f>
        <v>216.16876563248064</v>
      </c>
      <c r="AO76" s="62">
        <f t="shared" si="90"/>
        <v>137.55906339137317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0.70156911211775286</v>
      </c>
      <c r="AW76" s="23">
        <f>EXP(-LN(2)/2)*AW75+(1-EXP(-LN(2)/2))/(LN(2)/2)*AQ76*AT76*VLOOKUP('Données projet'!$B$10,Paramètres!$A$1:$I$89,3,0)*0.475*44/12</f>
        <v>1.4839018390324804E-6</v>
      </c>
      <c r="AX76" s="23">
        <f t="shared" si="60"/>
        <v>0.70157059601959193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200.00000000000014</v>
      </c>
      <c r="BE76" s="14">
        <f>BD76*VLOOKUP('Données projet'!$B$11,Paramètres!$A$1:$I$89,3,0)*VLOOKUP('Données projet'!$B$11,Paramètres!$A$1:$I$89,5,0)</f>
        <v>131.04000000000011</v>
      </c>
      <c r="BF76" s="14">
        <f t="shared" si="91"/>
        <v>34.236561238949953</v>
      </c>
      <c r="BG76" s="22">
        <f t="shared" si="61"/>
        <v>287.8566774911713</v>
      </c>
      <c r="BH76" s="62">
        <f t="shared" si="62"/>
        <v>581.19001082450461</v>
      </c>
      <c r="BI76" s="62">
        <f ca="1">AVERAGE(OFFSET($BH$3,0,0,'Données projet'!$E$11+1,1))-AVERAGE(OFFSET($H$3,0,0,'Données projet'!$E$11+1,1))</f>
        <v>154.44480170404967</v>
      </c>
      <c r="BJ76" s="62">
        <f t="shared" si="92"/>
        <v>186.45728006007272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</v>
      </c>
      <c r="BY76" s="13">
        <f>IF('Données projet'!$A$114&gt;35,BY75+BX76-CG75,IF(A76&lt;'Données projet'!$A$114,$BV$205^A76,IF(A76='Données projet'!$A$114,'Données projet'!$B$114,BY75+BX76-CG75)))</f>
        <v>200.00000000000014</v>
      </c>
      <c r="BZ76" s="14">
        <f>BY76*VLOOKUP('Données projet'!$B$12,Paramètres!$A$1:$I$89,3,0)*VLOOKUP('Données projet'!$B$12,Paramètres!$A$1:$I$89,5,0)</f>
        <v>131.04000000000011</v>
      </c>
      <c r="CA76" s="14">
        <f t="shared" si="93"/>
        <v>34.236561238949953</v>
      </c>
      <c r="CB76" s="22">
        <f t="shared" si="64"/>
        <v>287.8566774911713</v>
      </c>
      <c r="CC76" s="62">
        <f t="shared" si="65"/>
        <v>581.19001082450461</v>
      </c>
      <c r="CD76" s="62">
        <f ca="1">AVERAGE(OFFSET($CC$3,0,0,'Données projet'!$E$12+1,1))-AVERAGE(OFFSET($H$3,0,0,'Données projet'!$E$12+1,1))</f>
        <v>154.44480170404967</v>
      </c>
      <c r="CE76" s="62">
        <f t="shared" si="94"/>
        <v>186.45728006007272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9">
        <f t="shared" si="56"/>
        <v>384.78766557089068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8.3000000000000007</v>
      </c>
      <c r="N77" s="14">
        <f>IF('Données projet'!$A$36&gt;35,N76+M77-V76,IF(A77&lt;'Données projet'!$A$36,$K$205^A77,IF(A77='Données projet'!$A$36,'Données projet'!$B$36,N76+M77-V76)))</f>
        <v>345.20000000000027</v>
      </c>
      <c r="O77" s="14">
        <f>N77*VLOOKUP('Données projet'!$B$9,Paramètres!$A$1:$I$89,3,0)*VLOOKUP('Données projet'!$B$9,Paramètres!$A$1:$I$89,5,0)</f>
        <v>197.45440000000016</v>
      </c>
      <c r="P77" s="14">
        <f t="shared" si="87"/>
        <v>49.184305496332875</v>
      </c>
      <c r="Q77" s="22">
        <f t="shared" si="54"/>
        <v>429.56241207278003</v>
      </c>
      <c r="R77" s="62">
        <f t="shared" si="55"/>
        <v>722.89574540611329</v>
      </c>
      <c r="S77" s="62">
        <f ca="1">AVERAGE(OFFSET($R$3,0,0,'Données projet'!$E$9+1,1))-AVERAGE(OFFSET($H$3,0,0,'Données projet'!$E$9+1,1))</f>
        <v>178.42783874015521</v>
      </c>
      <c r="T77" s="62">
        <f t="shared" si="88"/>
        <v>140.03904900962556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0.52451268977855703</v>
      </c>
      <c r="AB77" s="23">
        <f>EXP(-LN(2)/2)*AB76+(1-EXP(-LN(2)/2))/(LN(2)/2)*V77*Y77*VLOOKUP('Données projet'!$B$9,Paramètres!$A$1:$I$89,3,0)*0.475*44/12</f>
        <v>1.6377511935810047E-7</v>
      </c>
      <c r="AC77" s="24">
        <f t="shared" si="57"/>
        <v>0.52451285355367638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</v>
      </c>
      <c r="AI77" s="14">
        <f>IF('Données projet'!$A$62&gt;35,AI76+AH77-AQ76,IF(A77&lt;'Données projet'!$A$62,$AF$205^A77,IF(A77='Données projet'!$A$62,'Données projet'!$B$62,AI76+AH77-AQ76)))</f>
        <v>406.00000000000011</v>
      </c>
      <c r="AJ77" s="14">
        <f>AI77*VLOOKUP('Données projet'!$B$10,Paramètres!$A$1:$I$89,3,0)*VLOOKUP('Données projet'!$B$10,Paramètres!$A$1:$I$89,5,0)</f>
        <v>242.78800000000007</v>
      </c>
      <c r="AK77" s="14">
        <f t="shared" si="89"/>
        <v>59.038978452354563</v>
      </c>
      <c r="AL77" s="22">
        <f t="shared" si="58"/>
        <v>525.68198747118436</v>
      </c>
      <c r="AM77" s="62">
        <f t="shared" si="59"/>
        <v>819.01532080451761</v>
      </c>
      <c r="AN77" s="62">
        <f ca="1">AVERAGE(OFFSET($AM$3,0,0,'Données projet'!$E$10+1,1))-AVERAGE(OFFSET($H$3,0,0,'Données projet'!$E$10+1,1))</f>
        <v>216.16876563248064</v>
      </c>
      <c r="AO77" s="62">
        <f t="shared" si="90"/>
        <v>137.55906339137317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0.6823846678529768</v>
      </c>
      <c r="AW77" s="23">
        <f>EXP(-LN(2)/2)*AW76+(1-EXP(-LN(2)/2))/(LN(2)/2)*AQ77*AT77*VLOOKUP('Données projet'!$B$10,Paramètres!$A$1:$I$89,3,0)*0.475*44/12</f>
        <v>1.0492770529950556E-6</v>
      </c>
      <c r="AX77" s="23">
        <f t="shared" si="60"/>
        <v>0.68238571713002982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204.00000000000014</v>
      </c>
      <c r="BE77" s="14">
        <f>BD77*VLOOKUP('Données projet'!$B$11,Paramètres!$A$1:$I$89,3,0)*VLOOKUP('Données projet'!$B$11,Paramètres!$A$1:$I$89,5,0)</f>
        <v>133.66080000000008</v>
      </c>
      <c r="BF77" s="14">
        <f t="shared" si="91"/>
        <v>34.840890682716747</v>
      </c>
      <c r="BG77" s="22">
        <f t="shared" si="61"/>
        <v>293.47377793906509</v>
      </c>
      <c r="BH77" s="62">
        <f t="shared" si="62"/>
        <v>586.8071112723984</v>
      </c>
      <c r="BI77" s="62">
        <f ca="1">AVERAGE(OFFSET($BH$3,0,0,'Données projet'!$E$11+1,1))-AVERAGE(OFFSET($H$3,0,0,'Données projet'!$E$11+1,1))</f>
        <v>154.44480170404967</v>
      </c>
      <c r="BJ77" s="62">
        <f t="shared" si="92"/>
        <v>186.45728006007272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</v>
      </c>
      <c r="BY77" s="13">
        <f>IF('Données projet'!$A$114&gt;35,BY76+BX77-CG76,IF(A77&lt;'Données projet'!$A$114,$BV$205^A77,IF(A77='Données projet'!$A$114,'Données projet'!$B$114,BY76+BX77-CG76)))</f>
        <v>204.00000000000014</v>
      </c>
      <c r="BZ77" s="14">
        <f>BY77*VLOOKUP('Données projet'!$B$12,Paramètres!$A$1:$I$89,3,0)*VLOOKUP('Données projet'!$B$12,Paramètres!$A$1:$I$89,5,0)</f>
        <v>133.66080000000008</v>
      </c>
      <c r="CA77" s="14">
        <f t="shared" si="93"/>
        <v>34.840890682716747</v>
      </c>
      <c r="CB77" s="22">
        <f t="shared" si="64"/>
        <v>293.47377793906509</v>
      </c>
      <c r="CC77" s="62">
        <f t="shared" si="65"/>
        <v>586.8071112723984</v>
      </c>
      <c r="CD77" s="62">
        <f ca="1">AVERAGE(OFFSET($CC$3,0,0,'Données projet'!$E$12+1,1))-AVERAGE(OFFSET($H$3,0,0,'Données projet'!$E$12+1,1))</f>
        <v>154.44480170404967</v>
      </c>
      <c r="CE77" s="62">
        <f t="shared" si="94"/>
        <v>186.45728006007272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9">
        <f t="shared" si="56"/>
        <v>385.99017329953574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8.3000000000000007</v>
      </c>
      <c r="N78" s="14">
        <f>IF('Données projet'!$A$36&gt;35,N77+M78-V77,IF(A78&lt;'Données projet'!$A$36,$K$205^A78,IF(A78='Données projet'!$A$36,'Données projet'!$B$36,N77+M78-V77)))</f>
        <v>353.50000000000028</v>
      </c>
      <c r="O78" s="14">
        <f>N78*VLOOKUP('Données projet'!$B$9,Paramètres!$A$1:$I$89,3,0)*VLOOKUP('Données projet'!$B$9,Paramètres!$A$1:$I$89,5,0)</f>
        <v>202.20200000000017</v>
      </c>
      <c r="P78" s="14">
        <f t="shared" si="87"/>
        <v>50.227791845116791</v>
      </c>
      <c r="Q78" s="22">
        <f t="shared" si="54"/>
        <v>439.64855413024537</v>
      </c>
      <c r="R78" s="62">
        <f t="shared" si="55"/>
        <v>732.98188746357869</v>
      </c>
      <c r="S78" s="62">
        <f ca="1">AVERAGE(OFFSET($R$3,0,0,'Données projet'!$E$9+1,1))-AVERAGE(OFFSET($H$3,0,0,'Données projet'!$E$9+1,1))</f>
        <v>178.42783874015521</v>
      </c>
      <c r="T78" s="62">
        <f t="shared" si="88"/>
        <v>140.03904900962556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0.51016986269363884</v>
      </c>
      <c r="AB78" s="23">
        <f>EXP(-LN(2)/2)*AB77+(1-EXP(-LN(2)/2))/(LN(2)/2)*V78*Y78*VLOOKUP('Données projet'!$B$9,Paramètres!$A$1:$I$89,3,0)*0.475*44/12</f>
        <v>1.1580649748774906E-7</v>
      </c>
      <c r="AC78" s="24">
        <f t="shared" si="57"/>
        <v>0.51016997850013635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</v>
      </c>
      <c r="AI78" s="14">
        <f>IF('Données projet'!$A$62&gt;35,AI77+AH78-AQ77,IF(A78&lt;'Données projet'!$A$62,$AF$205^A78,IF(A78='Données projet'!$A$62,'Données projet'!$B$62,AI77+AH78-AQ77)))</f>
        <v>415.00000000000011</v>
      </c>
      <c r="AJ78" s="14">
        <f>AI78*VLOOKUP('Données projet'!$B$10,Paramètres!$A$1:$I$89,3,0)*VLOOKUP('Données projet'!$B$10,Paramètres!$A$1:$I$89,5,0)</f>
        <v>248.1700000000001</v>
      </c>
      <c r="AK78" s="14">
        <f t="shared" si="89"/>
        <v>60.193906493778854</v>
      </c>
      <c r="AL78" s="22">
        <f t="shared" si="58"/>
        <v>537.06713714333159</v>
      </c>
      <c r="AM78" s="62">
        <f t="shared" si="59"/>
        <v>830.40047047666485</v>
      </c>
      <c r="AN78" s="62">
        <f ca="1">AVERAGE(OFFSET($AM$3,0,0,'Données projet'!$E$10+1,1))-AVERAGE(OFFSET($H$3,0,0,'Données projet'!$E$10+1,1))</f>
        <v>216.16876563248064</v>
      </c>
      <c r="AO78" s="62">
        <f t="shared" si="90"/>
        <v>137.55906339137317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0.66372482322548709</v>
      </c>
      <c r="AW78" s="23">
        <f>EXP(-LN(2)/2)*AW77+(1-EXP(-LN(2)/2))/(LN(2)/2)*AQ78*AT78*VLOOKUP('Données projet'!$B$10,Paramètres!$A$1:$I$89,3,0)*0.475*44/12</f>
        <v>7.4195091951624021E-7</v>
      </c>
      <c r="AX78" s="23">
        <f t="shared" si="60"/>
        <v>0.66372556517640657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208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208.00000000000014</v>
      </c>
      <c r="BE78" s="14">
        <f>BD78*VLOOKUP('Données projet'!$B$11,Paramètres!$A$1:$I$89,3,0)*VLOOKUP('Données projet'!$B$11,Paramètres!$A$1:$I$89,5,0)</f>
        <v>136.28160000000008</v>
      </c>
      <c r="BF78" s="14">
        <f t="shared" si="91"/>
        <v>35.443842312892279</v>
      </c>
      <c r="BG78" s="22">
        <f t="shared" si="61"/>
        <v>299.08847869495418</v>
      </c>
      <c r="BH78" s="62">
        <f t="shared" si="62"/>
        <v>592.42181202828749</v>
      </c>
      <c r="BI78" s="62">
        <f ca="1">AVERAGE(OFFSET($BH$3,0,0,'Données projet'!$E$11+1,1))-AVERAGE(OFFSET($H$3,0,0,'Données projet'!$E$11+1,1))</f>
        <v>154.44480170404967</v>
      </c>
      <c r="BJ78" s="62">
        <f t="shared" si="92"/>
        <v>186.45728006007272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208</v>
      </c>
      <c r="BW78" s="13">
        <f>VLOOKUP(A78,'Données projet'!$A$113:$I$133,9,0)</f>
        <v>4</v>
      </c>
      <c r="BX78" s="13">
        <f t="array" ref="BX78">INDEX(BW:BW,MIN(IF(ISNUMBER(BW78:BW274),ROW(BW78:BW274),"")))</f>
        <v>4</v>
      </c>
      <c r="BY78" s="13">
        <f>IF('Données projet'!$A$114&gt;35,BY77+BX78-CG77,IF(A78&lt;'Données projet'!$A$114,$BV$205^A78,IF(A78='Données projet'!$A$114,'Données projet'!$B$114,BY77+BX78-CG77)))</f>
        <v>208.00000000000014</v>
      </c>
      <c r="BZ78" s="14">
        <f>BY78*VLOOKUP('Données projet'!$B$12,Paramètres!$A$1:$I$89,3,0)*VLOOKUP('Données projet'!$B$12,Paramètres!$A$1:$I$89,5,0)</f>
        <v>136.28160000000008</v>
      </c>
      <c r="CA78" s="14">
        <f t="shared" si="93"/>
        <v>35.443842312892279</v>
      </c>
      <c r="CB78" s="22">
        <f t="shared" si="64"/>
        <v>299.08847869495418</v>
      </c>
      <c r="CC78" s="62">
        <f t="shared" si="65"/>
        <v>592.42181202828749</v>
      </c>
      <c r="CD78" s="62">
        <f ca="1">AVERAGE(OFFSET($CC$3,0,0,'Données projet'!$E$12+1,1))-AVERAGE(OFFSET($H$3,0,0,'Données projet'!$E$12+1,1))</f>
        <v>154.44480170404967</v>
      </c>
      <c r="CE78" s="62">
        <f t="shared" si="94"/>
        <v>186.45728006007272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9">
        <f t="shared" si="56"/>
        <v>387.19229090117022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8.3000000000000007</v>
      </c>
      <c r="N79" s="14">
        <f>IF('Données projet'!$A$36&gt;35,N78+M79-V78,IF(A79&lt;'Données projet'!$A$36,$K$205^A79,IF(A79='Données projet'!$A$36,'Données projet'!$B$36,N78+M79-V78)))</f>
        <v>361.8000000000003</v>
      </c>
      <c r="O79" s="14">
        <f>N79*VLOOKUP('Données projet'!$B$9,Paramètres!$A$1:$I$89,3,0)*VLOOKUP('Données projet'!$B$9,Paramètres!$A$1:$I$89,5,0)</f>
        <v>206.94960000000017</v>
      </c>
      <c r="P79" s="14">
        <f t="shared" si="87"/>
        <v>51.268429949375587</v>
      </c>
      <c r="Q79" s="22">
        <f t="shared" si="54"/>
        <v>449.72973549516274</v>
      </c>
      <c r="R79" s="62">
        <f t="shared" si="55"/>
        <v>743.06306882849606</v>
      </c>
      <c r="S79" s="62">
        <f ca="1">AVERAGE(OFFSET($R$3,0,0,'Données projet'!$E$9+1,1))-AVERAGE(OFFSET($H$3,0,0,'Données projet'!$E$9+1,1))</f>
        <v>178.42783874015521</v>
      </c>
      <c r="T79" s="62">
        <f t="shared" si="88"/>
        <v>140.03904900962556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0.49621924096961423</v>
      </c>
      <c r="AB79" s="23">
        <f>EXP(-LN(2)/2)*AB78+(1-EXP(-LN(2)/2))/(LN(2)/2)*V79*Y79*VLOOKUP('Données projet'!$B$9,Paramètres!$A$1:$I$89,3,0)*0.475*44/12</f>
        <v>8.1887559679050247E-8</v>
      </c>
      <c r="AC79" s="24">
        <f t="shared" si="57"/>
        <v>0.49621932285717391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</v>
      </c>
      <c r="AI79" s="14">
        <f>IF('Données projet'!$A$62&gt;35,AI78+AH79-AQ78,IF(A79&lt;'Données projet'!$A$62,$AF$205^A79,IF(A79='Données projet'!$A$62,'Données projet'!$B$62,AI78+AH79-AQ78)))</f>
        <v>424.00000000000011</v>
      </c>
      <c r="AJ79" s="14">
        <f>AI79*VLOOKUP('Données projet'!$B$10,Paramètres!$A$1:$I$89,3,0)*VLOOKUP('Données projet'!$B$10,Paramètres!$A$1:$I$89,5,0)</f>
        <v>253.55200000000008</v>
      </c>
      <c r="AK79" s="14">
        <f t="shared" si="89"/>
        <v>61.345922542613536</v>
      </c>
      <c r="AL79" s="22">
        <f t="shared" si="58"/>
        <v>548.447215095052</v>
      </c>
      <c r="AM79" s="62">
        <f t="shared" si="59"/>
        <v>841.78054842838537</v>
      </c>
      <c r="AN79" s="62">
        <f ca="1">AVERAGE(OFFSET($AM$3,0,0,'Données projet'!$E$10+1,1))-AVERAGE(OFFSET($H$3,0,0,'Données projet'!$E$10+1,1))</f>
        <v>216.16876563248064</v>
      </c>
      <c r="AO79" s="62">
        <f t="shared" si="90"/>
        <v>137.55906339137317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0.6455752330306147</v>
      </c>
      <c r="AW79" s="23">
        <f>EXP(-LN(2)/2)*AW78+(1-EXP(-LN(2)/2))/(LN(2)/2)*AQ79*AT79*VLOOKUP('Données projet'!$B$10,Paramètres!$A$1:$I$89,3,0)*0.475*44/12</f>
        <v>5.246385264975278E-7</v>
      </c>
      <c r="AX79" s="23">
        <f t="shared" si="60"/>
        <v>0.64557575766914121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3.8</v>
      </c>
      <c r="BD79" s="13">
        <f>IF('Données projet'!$A$88&gt;35,BD78+BC79-BL78,IF(A79&lt;'Données projet'!$A$88,$BA$205^A79,IF(A79='Données projet'!$A$88,'Données projet'!$B$88,BD78+BC79-BL78)))</f>
        <v>211.80000000000015</v>
      </c>
      <c r="BE79" s="14">
        <f>BD79*VLOOKUP('Données projet'!$B$11,Paramètres!$A$1:$I$89,3,0)*VLOOKUP('Données projet'!$B$11,Paramètres!$A$1:$I$89,5,0)</f>
        <v>138.7713600000001</v>
      </c>
      <c r="BF79" s="14">
        <f t="shared" si="91"/>
        <v>36.015397090902745</v>
      </c>
      <c r="BG79" s="22">
        <f t="shared" si="61"/>
        <v>304.42026859998913</v>
      </c>
      <c r="BH79" s="62">
        <f t="shared" si="62"/>
        <v>597.75360193332244</v>
      </c>
      <c r="BI79" s="62">
        <f ca="1">AVERAGE(OFFSET($BH$3,0,0,'Données projet'!$E$11+1,1))-AVERAGE(OFFSET($H$3,0,0,'Données projet'!$E$11+1,1))</f>
        <v>154.44480170404967</v>
      </c>
      <c r="BJ79" s="62">
        <f t="shared" si="92"/>
        <v>186.45728006007272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3.8</v>
      </c>
      <c r="BY79" s="13">
        <f>IF('Données projet'!$A$114&gt;35,BY78+BX79-CG78,IF(A79&lt;'Données projet'!$A$114,$BV$205^A79,IF(A79='Données projet'!$A$114,'Données projet'!$B$114,BY78+BX79-CG78)))</f>
        <v>211.80000000000015</v>
      </c>
      <c r="BZ79" s="14">
        <f>BY79*VLOOKUP('Données projet'!$B$12,Paramètres!$A$1:$I$89,3,0)*VLOOKUP('Données projet'!$B$12,Paramètres!$A$1:$I$89,5,0)</f>
        <v>138.7713600000001</v>
      </c>
      <c r="CA79" s="14">
        <f t="shared" si="93"/>
        <v>36.015397090902745</v>
      </c>
      <c r="CB79" s="22">
        <f t="shared" si="64"/>
        <v>304.42026859998913</v>
      </c>
      <c r="CC79" s="62">
        <f t="shared" si="65"/>
        <v>597.75360193332244</v>
      </c>
      <c r="CD79" s="62">
        <f ca="1">AVERAGE(OFFSET($CC$3,0,0,'Données projet'!$E$12+1,1))-AVERAGE(OFFSET($H$3,0,0,'Données projet'!$E$12+1,1))</f>
        <v>154.44480170404967</v>
      </c>
      <c r="CE79" s="62">
        <f t="shared" si="94"/>
        <v>186.45728006007272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9">
        <f t="shared" si="56"/>
        <v>388.39402410250074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8.3000000000000007</v>
      </c>
      <c r="N80" s="14">
        <f>IF('Données projet'!$A$36&gt;35,N79+M80-V79,IF(A80&lt;'Données projet'!$A$36,$K$205^A80,IF(A80='Données projet'!$A$36,'Données projet'!$B$36,N79+M80-V79)))</f>
        <v>370.10000000000031</v>
      </c>
      <c r="O80" s="14">
        <f>N80*VLOOKUP('Données projet'!$B$9,Paramètres!$A$1:$I$89,3,0)*VLOOKUP('Données projet'!$B$9,Paramètres!$A$1:$I$89,5,0)</f>
        <v>211.69720000000018</v>
      </c>
      <c r="P80" s="14">
        <f t="shared" si="87"/>
        <v>52.306292671581474</v>
      </c>
      <c r="Q80" s="22">
        <f t="shared" si="54"/>
        <v>459.80608306967133</v>
      </c>
      <c r="R80" s="62">
        <f t="shared" si="55"/>
        <v>753.13941640300459</v>
      </c>
      <c r="S80" s="62">
        <f ca="1">AVERAGE(OFFSET($R$3,0,0,'Données projet'!$E$9+1,1))-AVERAGE(OFFSET($H$3,0,0,'Données projet'!$E$9+1,1))</f>
        <v>178.42783874015521</v>
      </c>
      <c r="T80" s="62">
        <f t="shared" si="88"/>
        <v>140.03904900962556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0.48265009973026435</v>
      </c>
      <c r="AB80" s="23">
        <f>EXP(-LN(2)/2)*AB79+(1-EXP(-LN(2)/2))/(LN(2)/2)*V80*Y80*VLOOKUP('Données projet'!$B$9,Paramètres!$A$1:$I$89,3,0)*0.475*44/12</f>
        <v>5.7903248743874537E-8</v>
      </c>
      <c r="AC80" s="24">
        <f t="shared" si="57"/>
        <v>0.4826501576335131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</v>
      </c>
      <c r="AI80" s="14">
        <f>IF('Données projet'!$A$62&gt;35,AI79+AH80-AQ79,IF(A80&lt;'Données projet'!$A$62,$AF$205^A80,IF(A80='Données projet'!$A$62,'Données projet'!$B$62,AI79+AH80-AQ79)))</f>
        <v>433.00000000000011</v>
      </c>
      <c r="AJ80" s="14">
        <f>AI80*VLOOKUP('Données projet'!$B$10,Paramètres!$A$1:$I$89,3,0)*VLOOKUP('Données projet'!$B$10,Paramètres!$A$1:$I$89,5,0)</f>
        <v>258.93400000000008</v>
      </c>
      <c r="AK80" s="14">
        <f t="shared" si="89"/>
        <v>62.495095530116075</v>
      </c>
      <c r="AL80" s="22">
        <f t="shared" si="58"/>
        <v>559.82234138161891</v>
      </c>
      <c r="AM80" s="62">
        <f t="shared" si="59"/>
        <v>853.15567471495228</v>
      </c>
      <c r="AN80" s="62">
        <f ca="1">AVERAGE(OFFSET($AM$3,0,0,'Données projet'!$E$10+1,1))-AVERAGE(OFFSET($H$3,0,0,'Données projet'!$E$10+1,1))</f>
        <v>216.16876563248064</v>
      </c>
      <c r="AO80" s="62">
        <f t="shared" si="90"/>
        <v>137.55906339137317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0.62792194433406656</v>
      </c>
      <c r="AW80" s="23">
        <f>EXP(-LN(2)/2)*AW79+(1-EXP(-LN(2)/2))/(LN(2)/2)*AQ80*AT80*VLOOKUP('Données projet'!$B$10,Paramètres!$A$1:$I$89,3,0)*0.475*44/12</f>
        <v>3.7097545975812011E-7</v>
      </c>
      <c r="AX80" s="23">
        <f t="shared" si="60"/>
        <v>0.62792231530952636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3.8</v>
      </c>
      <c r="BD80" s="13">
        <f>IF('Données projet'!$A$88&gt;35,BD79+BC80-BL79,IF(A80&lt;'Données projet'!$A$88,$BA$205^A80,IF(A80='Données projet'!$A$88,'Données projet'!$B$88,BD79+BC80-BL79)))</f>
        <v>215.60000000000016</v>
      </c>
      <c r="BE80" s="14">
        <f>BD80*VLOOKUP('Données projet'!$B$11,Paramètres!$A$1:$I$89,3,0)*VLOOKUP('Données projet'!$B$11,Paramètres!$A$1:$I$89,5,0)</f>
        <v>141.26112000000009</v>
      </c>
      <c r="BF80" s="14">
        <f t="shared" si="91"/>
        <v>36.585759420211282</v>
      </c>
      <c r="BG80" s="22">
        <f t="shared" si="61"/>
        <v>309.7499816568681</v>
      </c>
      <c r="BH80" s="62">
        <f t="shared" si="62"/>
        <v>603.08331499020142</v>
      </c>
      <c r="BI80" s="62">
        <f ca="1">AVERAGE(OFFSET($BH$3,0,0,'Données projet'!$E$11+1,1))-AVERAGE(OFFSET($H$3,0,0,'Données projet'!$E$11+1,1))</f>
        <v>154.44480170404967</v>
      </c>
      <c r="BJ80" s="62">
        <f t="shared" si="92"/>
        <v>186.45728006007272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3.8</v>
      </c>
      <c r="BY80" s="13">
        <f>IF('Données projet'!$A$114&gt;35,BY79+BX80-CG79,IF(A80&lt;'Données projet'!$A$114,$BV$205^A80,IF(A80='Données projet'!$A$114,'Données projet'!$B$114,BY79+BX80-CG79)))</f>
        <v>215.60000000000016</v>
      </c>
      <c r="BZ80" s="14">
        <f>BY80*VLOOKUP('Données projet'!$B$12,Paramètres!$A$1:$I$89,3,0)*VLOOKUP('Données projet'!$B$12,Paramètres!$A$1:$I$89,5,0)</f>
        <v>141.26112000000009</v>
      </c>
      <c r="CA80" s="14">
        <f t="shared" si="93"/>
        <v>36.585759420211282</v>
      </c>
      <c r="CB80" s="22">
        <f t="shared" si="64"/>
        <v>309.7499816568681</v>
      </c>
      <c r="CC80" s="62">
        <f t="shared" si="65"/>
        <v>603.08331499020142</v>
      </c>
      <c r="CD80" s="62">
        <f ca="1">AVERAGE(OFFSET($CC$3,0,0,'Données projet'!$E$12+1,1))-AVERAGE(OFFSET($H$3,0,0,'Données projet'!$E$12+1,1))</f>
        <v>154.44480170404967</v>
      </c>
      <c r="CE80" s="62">
        <f t="shared" si="94"/>
        <v>186.45728006007272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9">
        <f t="shared" si="56"/>
        <v>389.59537847293694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8.3000000000000007</v>
      </c>
      <c r="N81" s="14">
        <f>IF('Données projet'!$A$36&gt;35,N80+M81-V80,IF(A81&lt;'Données projet'!$A$36,$K$205^A81,IF(A81='Données projet'!$A$36,'Données projet'!$B$36,N80+M81-V80)))</f>
        <v>378.40000000000032</v>
      </c>
      <c r="O81" s="14">
        <f>N81*VLOOKUP('Données projet'!$B$9,Paramètres!$A$1:$I$89,3,0)*VLOOKUP('Données projet'!$B$9,Paramètres!$A$1:$I$89,5,0)</f>
        <v>216.44480000000021</v>
      </c>
      <c r="P81" s="14">
        <f t="shared" si="87"/>
        <v>53.341449419561577</v>
      </c>
      <c r="Q81" s="22">
        <f t="shared" si="54"/>
        <v>469.87771773907002</v>
      </c>
      <c r="R81" s="62">
        <f t="shared" si="55"/>
        <v>763.21105107240328</v>
      </c>
      <c r="S81" s="62">
        <f ca="1">AVERAGE(OFFSET($R$3,0,0,'Données projet'!$E$9+1,1))-AVERAGE(OFFSET($H$3,0,0,'Données projet'!$E$9+1,1))</f>
        <v>178.42783874015521</v>
      </c>
      <c r="T81" s="62">
        <f t="shared" si="88"/>
        <v>140.03904900962556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0.46945200737167464</v>
      </c>
      <c r="AB81" s="23">
        <f>EXP(-LN(2)/2)*AB80+(1-EXP(-LN(2)/2))/(LN(2)/2)*V81*Y81*VLOOKUP('Données projet'!$B$9,Paramètres!$A$1:$I$89,3,0)*0.475*44/12</f>
        <v>4.094377983952513E-8</v>
      </c>
      <c r="AC81" s="24">
        <f t="shared" si="57"/>
        <v>0.46945204831545451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9</v>
      </c>
      <c r="AI81" s="14">
        <f>IF('Données projet'!$A$62&gt;35,AI80+AH81-AQ80,IF(A81&lt;'Données projet'!$A$62,$AF$205^A81,IF(A81='Données projet'!$A$62,'Données projet'!$B$62,AI80+AH81-AQ80)))</f>
        <v>442.00000000000011</v>
      </c>
      <c r="AJ81" s="14">
        <f>AI81*VLOOKUP('Données projet'!$B$10,Paramètres!$A$1:$I$89,3,0)*VLOOKUP('Données projet'!$B$10,Paramètres!$A$1:$I$89,5,0)</f>
        <v>264.31600000000009</v>
      </c>
      <c r="AK81" s="14">
        <f t="shared" si="89"/>
        <v>63.641491358279801</v>
      </c>
      <c r="AL81" s="22">
        <f t="shared" si="58"/>
        <v>571.19263078233746</v>
      </c>
      <c r="AM81" s="62">
        <f t="shared" si="59"/>
        <v>864.52596411567083</v>
      </c>
      <c r="AN81" s="62">
        <f ca="1">AVERAGE(OFFSET($AM$3,0,0,'Données projet'!$E$10+1,1))-AVERAGE(OFFSET($H$3,0,0,'Données projet'!$E$10+1,1))</f>
        <v>216.16876563248064</v>
      </c>
      <c r="AO81" s="62">
        <f t="shared" si="90"/>
        <v>137.55906339137317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0.61075138574527155</v>
      </c>
      <c r="AW81" s="23">
        <f>EXP(-LN(2)/2)*AW80+(1-EXP(-LN(2)/2))/(LN(2)/2)*AQ81*AT81*VLOOKUP('Données projet'!$B$10,Paramètres!$A$1:$I$89,3,0)*0.475*44/12</f>
        <v>2.623192632487639E-7</v>
      </c>
      <c r="AX81" s="23">
        <f t="shared" si="60"/>
        <v>0.61075164806453475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3.8</v>
      </c>
      <c r="BD81" s="13">
        <f>IF('Données projet'!$A$88&gt;35,BD80+BC81-BL80,IF(A81&lt;'Données projet'!$A$88,$BA$205^A81,IF(A81='Données projet'!$A$88,'Données projet'!$B$88,BD80+BC81-BL80)))</f>
        <v>219.40000000000018</v>
      </c>
      <c r="BE81" s="14">
        <f>BD81*VLOOKUP('Données projet'!$B$11,Paramètres!$A$1:$I$89,3,0)*VLOOKUP('Données projet'!$B$11,Paramètres!$A$1:$I$89,5,0)</f>
        <v>143.75088000000011</v>
      </c>
      <c r="BF81" s="14">
        <f t="shared" si="91"/>
        <v>37.15495274279774</v>
      </c>
      <c r="BG81" s="22">
        <f t="shared" si="61"/>
        <v>315.07765869370627</v>
      </c>
      <c r="BH81" s="62">
        <f t="shared" si="62"/>
        <v>608.41099202703958</v>
      </c>
      <c r="BI81" s="62">
        <f ca="1">AVERAGE(OFFSET($BH$3,0,0,'Données projet'!$E$11+1,1))-AVERAGE(OFFSET($H$3,0,0,'Données projet'!$E$11+1,1))</f>
        <v>154.44480170404967</v>
      </c>
      <c r="BJ81" s="62">
        <f t="shared" si="92"/>
        <v>186.45728006007272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3.8</v>
      </c>
      <c r="BY81" s="13">
        <f>IF('Données projet'!$A$114&gt;35,BY80+BX81-CG80,IF(A81&lt;'Données projet'!$A$114,$BV$205^A81,IF(A81='Données projet'!$A$114,'Données projet'!$B$114,BY80+BX81-CG80)))</f>
        <v>219.40000000000018</v>
      </c>
      <c r="BZ81" s="14">
        <f>BY81*VLOOKUP('Données projet'!$B$12,Paramètres!$A$1:$I$89,3,0)*VLOOKUP('Données projet'!$B$12,Paramètres!$A$1:$I$89,5,0)</f>
        <v>143.75088000000011</v>
      </c>
      <c r="CA81" s="14">
        <f t="shared" si="93"/>
        <v>37.15495274279774</v>
      </c>
      <c r="CB81" s="22">
        <f t="shared" si="64"/>
        <v>315.07765869370627</v>
      </c>
      <c r="CC81" s="62">
        <f t="shared" si="65"/>
        <v>608.41099202703958</v>
      </c>
      <c r="CD81" s="62">
        <f ca="1">AVERAGE(OFFSET($CC$3,0,0,'Données projet'!$E$12+1,1))-AVERAGE(OFFSET($H$3,0,0,'Données projet'!$E$12+1,1))</f>
        <v>154.44480170404967</v>
      </c>
      <c r="CE81" s="62">
        <f t="shared" si="94"/>
        <v>186.45728006007272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9">
        <f t="shared" si="56"/>
        <v>390.79635943087231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8.3000000000000007</v>
      </c>
      <c r="N82" s="14">
        <f>IF('Données projet'!$A$36&gt;35,N81+M82-V81,IF(A82&lt;'Données projet'!$A$36,$K$205^A82,IF(A82='Données projet'!$A$36,'Données projet'!$B$36,N81+M82-V81)))</f>
        <v>386.70000000000033</v>
      </c>
      <c r="O82" s="14">
        <f>N82*VLOOKUP('Données projet'!$B$9,Paramètres!$A$1:$I$89,3,0)*VLOOKUP('Données projet'!$B$9,Paramètres!$A$1:$I$89,5,0)</f>
        <v>221.19240000000019</v>
      </c>
      <c r="P82" s="14">
        <f t="shared" si="87"/>
        <v>54.373966382420612</v>
      </c>
      <c r="Q82" s="22">
        <f t="shared" si="54"/>
        <v>479.94475478271625</v>
      </c>
      <c r="R82" s="62">
        <f t="shared" si="55"/>
        <v>773.2780881160495</v>
      </c>
      <c r="S82" s="62">
        <f ca="1">AVERAGE(OFFSET($R$3,0,0,'Données projet'!$E$9+1,1))-AVERAGE(OFFSET($H$3,0,0,'Données projet'!$E$9+1,1))</f>
        <v>178.42783874015521</v>
      </c>
      <c r="T82" s="62">
        <f t="shared" si="88"/>
        <v>140.03904900962556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0.45661481754268807</v>
      </c>
      <c r="AB82" s="23">
        <f>EXP(-LN(2)/2)*AB81+(1-EXP(-LN(2)/2))/(LN(2)/2)*V82*Y82*VLOOKUP('Données projet'!$B$9,Paramètres!$A$1:$I$89,3,0)*0.475*44/12</f>
        <v>2.8951624371937275E-8</v>
      </c>
      <c r="AC82" s="24">
        <f t="shared" si="57"/>
        <v>0.45661484649431244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</v>
      </c>
      <c r="AI82" s="14">
        <f>IF('Données projet'!$A$62&gt;35,AI81+AH82-AQ81,IF(A82&lt;'Données projet'!$A$62,$AF$205^A82,IF(A82='Données projet'!$A$62,'Données projet'!$B$62,AI81+AH82-AQ81)))</f>
        <v>451.00000000000011</v>
      </c>
      <c r="AJ82" s="14">
        <f>AI82*VLOOKUP('Données projet'!$B$10,Paramètres!$A$1:$I$89,3,0)*VLOOKUP('Données projet'!$B$10,Paramètres!$A$1:$I$89,5,0)</f>
        <v>269.69800000000009</v>
      </c>
      <c r="AK82" s="14">
        <f t="shared" si="89"/>
        <v>64.785173091884289</v>
      </c>
      <c r="AL82" s="22">
        <f t="shared" si="58"/>
        <v>582.55819313503196</v>
      </c>
      <c r="AM82" s="62">
        <f t="shared" si="59"/>
        <v>875.89152646836533</v>
      </c>
      <c r="AN82" s="62">
        <f ca="1">AVERAGE(OFFSET($AM$3,0,0,'Données projet'!$E$10+1,1))-AVERAGE(OFFSET($H$3,0,0,'Données projet'!$E$10+1,1))</f>
        <v>216.16876563248064</v>
      </c>
      <c r="AO82" s="62">
        <f t="shared" si="90"/>
        <v>137.55906339137317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0.59405035698404762</v>
      </c>
      <c r="AW82" s="23">
        <f>EXP(-LN(2)/2)*AW81+(1-EXP(-LN(2)/2))/(LN(2)/2)*AQ82*AT82*VLOOKUP('Données projet'!$B$10,Paramètres!$A$1:$I$89,3,0)*0.475*44/12</f>
        <v>1.8548772987906005E-7</v>
      </c>
      <c r="AX82" s="23">
        <f t="shared" si="60"/>
        <v>0.59405054247177747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3.8</v>
      </c>
      <c r="BD82" s="13">
        <f>IF('Données projet'!$A$88&gt;35,BD81+BC82-BL81,IF(A82&lt;'Données projet'!$A$88,$BA$205^A82,IF(A82='Données projet'!$A$88,'Données projet'!$B$88,BD81+BC82-BL81)))</f>
        <v>223.20000000000019</v>
      </c>
      <c r="BE82" s="14">
        <f>BD82*VLOOKUP('Données projet'!$B$11,Paramètres!$A$1:$I$89,3,0)*VLOOKUP('Données projet'!$B$11,Paramètres!$A$1:$I$89,5,0)</f>
        <v>146.24064000000013</v>
      </c>
      <c r="BF82" s="14">
        <f t="shared" si="91"/>
        <v>37.722999642090628</v>
      </c>
      <c r="BG82" s="22">
        <f t="shared" si="61"/>
        <v>320.40333904330799</v>
      </c>
      <c r="BH82" s="62">
        <f t="shared" si="62"/>
        <v>613.73667237664131</v>
      </c>
      <c r="BI82" s="62">
        <f ca="1">AVERAGE(OFFSET($BH$3,0,0,'Données projet'!$E$11+1,1))-AVERAGE(OFFSET($H$3,0,0,'Données projet'!$E$11+1,1))</f>
        <v>154.44480170404967</v>
      </c>
      <c r="BJ82" s="62">
        <f t="shared" si="92"/>
        <v>186.45728006007272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3.8</v>
      </c>
      <c r="BY82" s="13">
        <f>IF('Données projet'!$A$114&gt;35,BY81+BX82-CG81,IF(A82&lt;'Données projet'!$A$114,$BV$205^A82,IF(A82='Données projet'!$A$114,'Données projet'!$B$114,BY81+BX82-CG81)))</f>
        <v>223.20000000000019</v>
      </c>
      <c r="BZ82" s="14">
        <f>BY82*VLOOKUP('Données projet'!$B$12,Paramètres!$A$1:$I$89,3,0)*VLOOKUP('Données projet'!$B$12,Paramètres!$A$1:$I$89,5,0)</f>
        <v>146.24064000000013</v>
      </c>
      <c r="CA82" s="14">
        <f t="shared" si="93"/>
        <v>37.722999642090628</v>
      </c>
      <c r="CB82" s="22">
        <f t="shared" si="64"/>
        <v>320.40333904330799</v>
      </c>
      <c r="CC82" s="62">
        <f t="shared" si="65"/>
        <v>613.73667237664131</v>
      </c>
      <c r="CD82" s="62">
        <f ca="1">AVERAGE(OFFSET($CC$3,0,0,'Données projet'!$E$12+1,1))-AVERAGE(OFFSET($H$3,0,0,'Données projet'!$E$12+1,1))</f>
        <v>154.44480170404967</v>
      </c>
      <c r="CE82" s="62">
        <f t="shared" si="94"/>
        <v>186.45728006007272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9">
        <f t="shared" si="56"/>
        <v>391.99697224963751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395</v>
      </c>
      <c r="L83" s="13">
        <f>VLOOKUP(A83,'Données projet'!$A$35:$I$55,9,0)</f>
        <v>8.3000000000000007</v>
      </c>
      <c r="M83" s="13">
        <f t="array" ref="M83">INDEX(L:L,MIN(IF(ISNUMBER(L83:L279),ROW(L83:L279),"")))</f>
        <v>8.3000000000000007</v>
      </c>
      <c r="N83" s="14">
        <f>IF('Données projet'!$A$36&gt;35,N82+M83-V82,IF(A83&lt;'Données projet'!$A$36,$K$205^A83,IF(A83='Données projet'!$A$36,'Données projet'!$B$36,N82+M83-V82)))</f>
        <v>395.00000000000034</v>
      </c>
      <c r="O83" s="14">
        <f>N83*VLOOKUP('Données projet'!$B$9,Paramètres!$A$1:$I$89,3,0)*VLOOKUP('Données projet'!$B$9,Paramètres!$A$1:$I$89,5,0)</f>
        <v>225.9400000000002</v>
      </c>
      <c r="P83" s="14">
        <f t="shared" si="87"/>
        <v>55.403906745636547</v>
      </c>
      <c r="Q83" s="22">
        <f t="shared" si="54"/>
        <v>490.0073042486506</v>
      </c>
      <c r="R83" s="62">
        <f t="shared" si="55"/>
        <v>783.34063758198386</v>
      </c>
      <c r="S83" s="62">
        <f ca="1">AVERAGE(OFFSET($R$3,0,0,'Données projet'!$E$9+1,1))-AVERAGE(OFFSET($H$3,0,0,'Données projet'!$E$9+1,1))</f>
        <v>178.42783874015521</v>
      </c>
      <c r="T83" s="62">
        <f t="shared" si="88"/>
        <v>140.03904900962556</v>
      </c>
      <c r="U83" s="16">
        <f>IF(ISNA(VLOOKUP(A83,'Données projet'!$A$35:$I$55,3,0)),0,VLOOKUP(A83,'Données projet'!$A$35:$I$55,3,0))</f>
        <v>8</v>
      </c>
      <c r="V83" s="16">
        <f>IF(ISNA(VLOOKUP(A83,'Données projet'!$A$35:$I$55,4,0)),0,VLOOKUP(A83,'Données projet'!$A$35:$I$55,4,0))</f>
        <v>395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0.44412866134465362</v>
      </c>
      <c r="AB83" s="23">
        <f>EXP(-LN(2)/2)*AB82+(1-EXP(-LN(2)/2))/(LN(2)/2)*V83*Y83*VLOOKUP('Données projet'!$B$9,Paramètres!$A$1:$I$89,3,0)*0.475*44/12</f>
        <v>2.0471889919762568E-8</v>
      </c>
      <c r="AC83" s="24">
        <f t="shared" si="57"/>
        <v>0.44412868181654352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460</v>
      </c>
      <c r="AG83" s="13">
        <f>VLOOKUP(A83,'Données projet'!$A$61:$I$81,9,0)</f>
        <v>9</v>
      </c>
      <c r="AH83" s="13">
        <f t="array" ref="AH83">INDEX(AG:AG,MIN(IF(ISNUMBER(AG83:AG279),ROW(AG83:AG279),"")))</f>
        <v>9</v>
      </c>
      <c r="AI83" s="14">
        <f>IF('Données projet'!$A$62&gt;35,AI82+AH83-AQ82,IF(A83&lt;'Données projet'!$A$62,$AF$205^A83,IF(A83='Données projet'!$A$62,'Données projet'!$B$62,AI82+AH83-AQ82)))</f>
        <v>460.00000000000011</v>
      </c>
      <c r="AJ83" s="14">
        <f>AI83*VLOOKUP('Données projet'!$B$10,Paramètres!$A$1:$I$89,3,0)*VLOOKUP('Données projet'!$B$10,Paramètres!$A$1:$I$89,5,0)</f>
        <v>275.0800000000001</v>
      </c>
      <c r="AK83" s="14">
        <f t="shared" si="89"/>
        <v>65.926201134783341</v>
      </c>
      <c r="AL83" s="22">
        <f t="shared" si="58"/>
        <v>593.91913364308118</v>
      </c>
      <c r="AM83" s="62">
        <f t="shared" si="59"/>
        <v>887.25246697641455</v>
      </c>
      <c r="AN83" s="62">
        <f ca="1">AVERAGE(OFFSET($AM$3,0,0,'Données projet'!$E$10+1,1))-AVERAGE(OFFSET($H$3,0,0,'Données projet'!$E$10+1,1))</f>
        <v>216.16876563248064</v>
      </c>
      <c r="AO83" s="62">
        <f t="shared" si="90"/>
        <v>137.55906339137317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460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0.57780601873256832</v>
      </c>
      <c r="AW83" s="23">
        <f>EXP(-LN(2)/2)*AW82+(1-EXP(-LN(2)/2))/(LN(2)/2)*AQ83*AT83*VLOOKUP('Données projet'!$B$10,Paramètres!$A$1:$I$89,3,0)*0.475*44/12</f>
        <v>1.3115963162438195E-7</v>
      </c>
      <c r="AX83" s="23">
        <f t="shared" si="60"/>
        <v>0.57780614989219992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227</v>
      </c>
      <c r="BB83" s="13">
        <f>VLOOKUP(A83,'Données projet'!$A$87:$I$107,9,0)</f>
        <v>3.8</v>
      </c>
      <c r="BC83" s="13">
        <f t="array" ref="BC83">INDEX(BB:BB,MIN(IF(ISNUMBER(BB83:BB279),ROW(BB83:BB279),"")))</f>
        <v>3.8</v>
      </c>
      <c r="BD83" s="13">
        <f>IF('Données projet'!$A$88&gt;35,BD82+BC83-BL82,IF(A83&lt;'Données projet'!$A$88,$BA$205^A83,IF(A83='Données projet'!$A$88,'Données projet'!$B$88,BD82+BC83-BL82)))</f>
        <v>227.0000000000002</v>
      </c>
      <c r="BE83" s="14">
        <f>BD83*VLOOKUP('Données projet'!$B$11,Paramètres!$A$1:$I$89,3,0)*VLOOKUP('Données projet'!$B$11,Paramètres!$A$1:$I$89,5,0)</f>
        <v>148.73040000000012</v>
      </c>
      <c r="BF83" s="14">
        <f t="shared" si="91"/>
        <v>38.289921888482922</v>
      </c>
      <c r="BG83" s="22">
        <f t="shared" si="61"/>
        <v>325.72706062244129</v>
      </c>
      <c r="BH83" s="62">
        <f t="shared" si="62"/>
        <v>619.06039395577454</v>
      </c>
      <c r="BI83" s="62">
        <f ca="1">AVERAGE(OFFSET($BH$3,0,0,'Données projet'!$E$11+1,1))-AVERAGE(OFFSET($H$3,0,0,'Données projet'!$E$11+1,1))</f>
        <v>154.44480170404967</v>
      </c>
      <c r="BJ83" s="62">
        <f t="shared" si="92"/>
        <v>186.45728006007272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227</v>
      </c>
      <c r="BW83" s="13">
        <f>VLOOKUP(A83,'Données projet'!$A$113:$I$133,9,0)</f>
        <v>3.8</v>
      </c>
      <c r="BX83" s="13">
        <f t="array" ref="BX83">INDEX(BW:BW,MIN(IF(ISNUMBER(BW83:BW279),ROW(BW83:BW279),"")))</f>
        <v>3.8</v>
      </c>
      <c r="BY83" s="13">
        <f>IF('Données projet'!$A$114&gt;35,BY82+BX83-CG82,IF(A83&lt;'Données projet'!$A$114,$BV$205^A83,IF(A83='Données projet'!$A$114,'Données projet'!$B$114,BY82+BX83-CG82)))</f>
        <v>227.0000000000002</v>
      </c>
      <c r="BZ83" s="14">
        <f>BY83*VLOOKUP('Données projet'!$B$12,Paramètres!$A$1:$I$89,3,0)*VLOOKUP('Données projet'!$B$12,Paramètres!$A$1:$I$89,5,0)</f>
        <v>148.73040000000012</v>
      </c>
      <c r="CA83" s="14">
        <f t="shared" si="93"/>
        <v>38.289921888482922</v>
      </c>
      <c r="CB83" s="22">
        <f t="shared" si="64"/>
        <v>325.72706062244129</v>
      </c>
      <c r="CC83" s="62">
        <f t="shared" si="65"/>
        <v>619.06039395577454</v>
      </c>
      <c r="CD83" s="62">
        <f ca="1">AVERAGE(OFFSET($CC$3,0,0,'Données projet'!$E$12+1,1))-AVERAGE(OFFSET($H$3,0,0,'Données projet'!$E$12+1,1))</f>
        <v>154.44480170404967</v>
      </c>
      <c r="CE83" s="62">
        <f t="shared" si="94"/>
        <v>186.45728006007272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9">
        <f t="shared" si="56"/>
        <v>393.19722206314799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3.4106051316484809E-13</v>
      </c>
      <c r="O84" s="14">
        <f>N84*VLOOKUP('Données projet'!$B$9,Paramètres!$A$1:$I$89,3,0)*VLOOKUP('Données projet'!$B$9,Paramètres!$A$1:$I$89,5,0)</f>
        <v>1.9508661353029313E-13</v>
      </c>
      <c r="P84" s="14">
        <f t="shared" si="87"/>
        <v>2.711421636700695E-12</v>
      </c>
      <c r="Q84" s="22">
        <f t="shared" si="54"/>
        <v>5.0621685358189711E-12</v>
      </c>
      <c r="R84" s="62">
        <f t="shared" si="55"/>
        <v>293.33333333333837</v>
      </c>
      <c r="S84" s="62">
        <f ca="1">AVERAGE(OFFSET($R$3,0,0,'Données projet'!$E$9+1,1))-AVERAGE(OFFSET($H$3,0,0,'Données projet'!$E$9+1,1))</f>
        <v>178.42783874015521</v>
      </c>
      <c r="T84" s="62">
        <f t="shared" si="88"/>
        <v>140.03904900962556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0.43198393974447286</v>
      </c>
      <c r="AB84" s="23">
        <f>EXP(-LN(2)/2)*AB83+(1-EXP(-LN(2)/2))/(LN(2)/2)*V84*Y84*VLOOKUP('Données projet'!$B$9,Paramètres!$A$1:$I$89,3,0)*0.475*44/12</f>
        <v>1.4475812185968639E-8</v>
      </c>
      <c r="AC84" s="24">
        <f t="shared" si="57"/>
        <v>0.43198395422028502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216.16876563248064</v>
      </c>
      <c r="AO84" s="62">
        <f t="shared" si="90"/>
        <v>137.55906339137317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0.56200588276482832</v>
      </c>
      <c r="AW84" s="23">
        <f>EXP(-LN(2)/2)*AW83+(1-EXP(-LN(2)/2))/(LN(2)/2)*AQ84*AT84*VLOOKUP('Données projet'!$B$10,Paramètres!$A$1:$I$89,3,0)*0.475*44/12</f>
        <v>9.2743864939530027E-8</v>
      </c>
      <c r="AX84" s="23">
        <f t="shared" si="60"/>
        <v>0.56200597550869325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3.6</v>
      </c>
      <c r="BD84" s="13">
        <f>IF('Données projet'!$A$88&gt;35,BD83+BC84-BL83,IF(A84&lt;'Données projet'!$A$88,$BA$205^A84,IF(A84='Données projet'!$A$88,'Données projet'!$B$88,BD83+BC84-BL83)))</f>
        <v>199.60000000000019</v>
      </c>
      <c r="BE84" s="14">
        <f>BD84*VLOOKUP('Données projet'!$B$11,Paramètres!$A$1:$I$89,3,0)*VLOOKUP('Données projet'!$B$11,Paramètres!$A$1:$I$89,5,0)</f>
        <v>130.77792000000014</v>
      </c>
      <c r="BF84" s="14">
        <f t="shared" si="91"/>
        <v>34.176051340149542</v>
      </c>
      <c r="BG84" s="22">
        <f t="shared" si="61"/>
        <v>287.29483341742736</v>
      </c>
      <c r="BH84" s="62">
        <f t="shared" si="62"/>
        <v>580.62816675076067</v>
      </c>
      <c r="BI84" s="62">
        <f ca="1">AVERAGE(OFFSET($BH$3,0,0,'Données projet'!$E$11+1,1))-AVERAGE(OFFSET($H$3,0,0,'Données projet'!$E$11+1,1))</f>
        <v>154.44480170404967</v>
      </c>
      <c r="BJ84" s="62">
        <f t="shared" si="92"/>
        <v>186.45728006007272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3.6</v>
      </c>
      <c r="BY84" s="13">
        <f>IF('Données projet'!$A$114&gt;35,BY83+BX84-CG83,IF(A84&lt;'Données projet'!$A$114,$BV$205^A84,IF(A84='Données projet'!$A$114,'Données projet'!$B$114,BY83+BX84-CG83)))</f>
        <v>199.60000000000019</v>
      </c>
      <c r="BZ84" s="14">
        <f>BY84*VLOOKUP('Données projet'!$B$12,Paramètres!$A$1:$I$89,3,0)*VLOOKUP('Données projet'!$B$12,Paramètres!$A$1:$I$89,5,0)</f>
        <v>130.77792000000014</v>
      </c>
      <c r="CA84" s="14">
        <f t="shared" si="93"/>
        <v>34.176051340149542</v>
      </c>
      <c r="CB84" s="22">
        <f t="shared" si="64"/>
        <v>287.29483341742736</v>
      </c>
      <c r="CC84" s="62">
        <f t="shared" si="65"/>
        <v>580.62816675076067</v>
      </c>
      <c r="CD84" s="62">
        <f ca="1">AVERAGE(OFFSET($CC$3,0,0,'Données projet'!$E$12+1,1))-AVERAGE(OFFSET($H$3,0,0,'Données projet'!$E$12+1,1))</f>
        <v>154.44480170404967</v>
      </c>
      <c r="CE84" s="62">
        <f t="shared" si="94"/>
        <v>186.45728006007272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9">
        <f t="shared" si="56"/>
        <v>394.39711387126425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3.4106051316484809E-13</v>
      </c>
      <c r="O85" s="14">
        <f>N85*VLOOKUP('Données projet'!$B$9,Paramètres!$A$1:$I$89,3,0)*VLOOKUP('Données projet'!$B$9,Paramètres!$A$1:$I$89,5,0)</f>
        <v>1.9508661353029313E-13</v>
      </c>
      <c r="P85" s="14">
        <f t="shared" si="87"/>
        <v>2.711421636700695E-12</v>
      </c>
      <c r="Q85" s="22">
        <f t="shared" si="54"/>
        <v>5.0621685358189711E-12</v>
      </c>
      <c r="R85" s="62">
        <f t="shared" si="55"/>
        <v>293.33333333333837</v>
      </c>
      <c r="S85" s="62">
        <f ca="1">AVERAGE(OFFSET($R$3,0,0,'Données projet'!$E$9+1,1))-AVERAGE(OFFSET($H$3,0,0,'Données projet'!$E$9+1,1))</f>
        <v>178.42783874015521</v>
      </c>
      <c r="T85" s="62">
        <f t="shared" si="88"/>
        <v>140.03904900962556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0.42017131619511217</v>
      </c>
      <c r="AB85" s="23">
        <f>EXP(-LN(2)/2)*AB84+(1-EXP(-LN(2)/2))/(LN(2)/2)*V85*Y85*VLOOKUP('Données projet'!$B$9,Paramètres!$A$1:$I$89,3,0)*0.475*44/12</f>
        <v>1.0235944959881286E-8</v>
      </c>
      <c r="AC85" s="24">
        <f t="shared" si="57"/>
        <v>0.42017132643105715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216.16876563248064</v>
      </c>
      <c r="AO85" s="62">
        <f t="shared" si="90"/>
        <v>137.55906339137317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0.54663780234601922</v>
      </c>
      <c r="AW85" s="23">
        <f>EXP(-LN(2)/2)*AW84+(1-EXP(-LN(2)/2))/(LN(2)/2)*AQ85*AT85*VLOOKUP('Données projet'!$B$10,Paramètres!$A$1:$I$89,3,0)*0.475*44/12</f>
        <v>6.5579815812190974E-8</v>
      </c>
      <c r="AX85" s="23">
        <f t="shared" si="60"/>
        <v>0.54663786792583502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3.6</v>
      </c>
      <c r="BD85" s="13">
        <f>IF('Données projet'!$A$88&gt;35,BD84+BC85-BL84,IF(A85&lt;'Données projet'!$A$88,$BA$205^A85,IF(A85='Données projet'!$A$88,'Données projet'!$B$88,BD84+BC85-BL84)))</f>
        <v>203.20000000000019</v>
      </c>
      <c r="BE85" s="14">
        <f>BD85*VLOOKUP('Données projet'!$B$11,Paramètres!$A$1:$I$89,3,0)*VLOOKUP('Données projet'!$B$11,Paramètres!$A$1:$I$89,5,0)</f>
        <v>133.13664000000014</v>
      </c>
      <c r="BF85" s="14">
        <f t="shared" si="91"/>
        <v>34.720135986247172</v>
      </c>
      <c r="BG85" s="22">
        <f t="shared" si="61"/>
        <v>292.35055150938075</v>
      </c>
      <c r="BH85" s="62">
        <f t="shared" si="62"/>
        <v>585.68388484271406</v>
      </c>
      <c r="BI85" s="62">
        <f ca="1">AVERAGE(OFFSET($BH$3,0,0,'Données projet'!$E$11+1,1))-AVERAGE(OFFSET($H$3,0,0,'Données projet'!$E$11+1,1))</f>
        <v>154.44480170404967</v>
      </c>
      <c r="BJ85" s="62">
        <f t="shared" si="92"/>
        <v>186.45728006007272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3.6</v>
      </c>
      <c r="BY85" s="13">
        <f>IF('Données projet'!$A$114&gt;35,BY84+BX85-CG84,IF(A85&lt;'Données projet'!$A$114,$BV$205^A85,IF(A85='Données projet'!$A$114,'Données projet'!$B$114,BY84+BX85-CG84)))</f>
        <v>203.20000000000019</v>
      </c>
      <c r="BZ85" s="14">
        <f>BY85*VLOOKUP('Données projet'!$B$12,Paramètres!$A$1:$I$89,3,0)*VLOOKUP('Données projet'!$B$12,Paramètres!$A$1:$I$89,5,0)</f>
        <v>133.13664000000014</v>
      </c>
      <c r="CA85" s="14">
        <f t="shared" si="93"/>
        <v>34.720135986247172</v>
      </c>
      <c r="CB85" s="22">
        <f t="shared" si="64"/>
        <v>292.35055150938075</v>
      </c>
      <c r="CC85" s="62">
        <f t="shared" si="65"/>
        <v>585.68388484271406</v>
      </c>
      <c r="CD85" s="62">
        <f ca="1">AVERAGE(OFFSET($CC$3,0,0,'Données projet'!$E$12+1,1))-AVERAGE(OFFSET($H$3,0,0,'Données projet'!$E$12+1,1))</f>
        <v>154.44480170404967</v>
      </c>
      <c r="CE85" s="62">
        <f t="shared" si="94"/>
        <v>186.45728006007272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9">
        <f t="shared" si="56"/>
        <v>395.59665254488391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3.4106051316484809E-13</v>
      </c>
      <c r="O86" s="14">
        <f>N86*VLOOKUP('Données projet'!$B$9,Paramètres!$A$1:$I$89,3,0)*VLOOKUP('Données projet'!$B$9,Paramètres!$A$1:$I$89,5,0)</f>
        <v>1.9508661353029313E-13</v>
      </c>
      <c r="P86" s="14">
        <f t="shared" si="87"/>
        <v>2.711421636700695E-12</v>
      </c>
      <c r="Q86" s="22">
        <f t="shared" si="54"/>
        <v>5.0621685358189711E-12</v>
      </c>
      <c r="R86" s="62">
        <f t="shared" si="55"/>
        <v>293.33333333333837</v>
      </c>
      <c r="S86" s="62">
        <f ca="1">AVERAGE(OFFSET($R$3,0,0,'Données projet'!$E$9+1,1))-AVERAGE(OFFSET($H$3,0,0,'Données projet'!$E$9+1,1))</f>
        <v>178.42783874015521</v>
      </c>
      <c r="T86" s="62">
        <f t="shared" si="88"/>
        <v>140.03904900962556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0.4086817094579076</v>
      </c>
      <c r="AB86" s="23">
        <f>EXP(-LN(2)/2)*AB85+(1-EXP(-LN(2)/2))/(LN(2)/2)*V86*Y86*VLOOKUP('Données projet'!$B$9,Paramètres!$A$1:$I$89,3,0)*0.475*44/12</f>
        <v>7.2379060929843204E-9</v>
      </c>
      <c r="AC86" s="24">
        <f t="shared" si="57"/>
        <v>0.40868171669581371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216.16876563248064</v>
      </c>
      <c r="AO86" s="62">
        <f t="shared" si="90"/>
        <v>137.55906339137317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0.53168996289443471</v>
      </c>
      <c r="AW86" s="23">
        <f>EXP(-LN(2)/2)*AW85+(1-EXP(-LN(2)/2))/(LN(2)/2)*AQ86*AT86*VLOOKUP('Données projet'!$B$10,Paramètres!$A$1:$I$89,3,0)*0.475*44/12</f>
        <v>4.6371932469765013E-8</v>
      </c>
      <c r="AX86" s="23">
        <f t="shared" si="60"/>
        <v>0.53169000926636723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3.6</v>
      </c>
      <c r="BD86" s="13">
        <f>IF('Données projet'!$A$88&gt;35,BD85+BC86-BL85,IF(A86&lt;'Données projet'!$A$88,$BA$205^A86,IF(A86='Données projet'!$A$88,'Données projet'!$B$88,BD85+BC86-BL85)))</f>
        <v>206.80000000000018</v>
      </c>
      <c r="BE86" s="14">
        <f>BD86*VLOOKUP('Données projet'!$B$11,Paramètres!$A$1:$I$89,3,0)*VLOOKUP('Données projet'!$B$11,Paramètres!$A$1:$I$89,5,0)</f>
        <v>135.49536000000012</v>
      </c>
      <c r="BF86" s="14">
        <f t="shared" si="91"/>
        <v>35.263099712541788</v>
      </c>
      <c r="BG86" s="22">
        <f t="shared" si="61"/>
        <v>297.40431733267718</v>
      </c>
      <c r="BH86" s="62">
        <f t="shared" si="62"/>
        <v>590.7376506660105</v>
      </c>
      <c r="BI86" s="62">
        <f ca="1">AVERAGE(OFFSET($BH$3,0,0,'Données projet'!$E$11+1,1))-AVERAGE(OFFSET($H$3,0,0,'Données projet'!$E$11+1,1))</f>
        <v>154.44480170404967</v>
      </c>
      <c r="BJ86" s="62">
        <f t="shared" si="92"/>
        <v>186.45728006007272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3.6</v>
      </c>
      <c r="BY86" s="13">
        <f>IF('Données projet'!$A$114&gt;35,BY85+BX86-CG85,IF(A86&lt;'Données projet'!$A$114,$BV$205^A86,IF(A86='Données projet'!$A$114,'Données projet'!$B$114,BY85+BX86-CG85)))</f>
        <v>206.80000000000018</v>
      </c>
      <c r="BZ86" s="14">
        <f>BY86*VLOOKUP('Données projet'!$B$12,Paramètres!$A$1:$I$89,3,0)*VLOOKUP('Données projet'!$B$12,Paramètres!$A$1:$I$89,5,0)</f>
        <v>135.49536000000012</v>
      </c>
      <c r="CA86" s="14">
        <f t="shared" si="93"/>
        <v>35.263099712541788</v>
      </c>
      <c r="CB86" s="22">
        <f t="shared" si="64"/>
        <v>297.40431733267718</v>
      </c>
      <c r="CC86" s="62">
        <f t="shared" si="65"/>
        <v>590.7376506660105</v>
      </c>
      <c r="CD86" s="62">
        <f ca="1">AVERAGE(OFFSET($CC$3,0,0,'Données projet'!$E$12+1,1))-AVERAGE(OFFSET($H$3,0,0,'Données projet'!$E$12+1,1))</f>
        <v>154.44480170404967</v>
      </c>
      <c r="CE86" s="62">
        <f t="shared" si="94"/>
        <v>186.45728006007272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9">
        <f t="shared" si="56"/>
        <v>396.79584283078037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3.4106051316484809E-13</v>
      </c>
      <c r="O87" s="14">
        <f>N87*VLOOKUP('Données projet'!$B$9,Paramètres!$A$1:$I$89,3,0)*VLOOKUP('Données projet'!$B$9,Paramètres!$A$1:$I$89,5,0)</f>
        <v>1.9508661353029313E-13</v>
      </c>
      <c r="P87" s="14">
        <f t="shared" si="87"/>
        <v>2.711421636700695E-12</v>
      </c>
      <c r="Q87" s="22">
        <f t="shared" si="54"/>
        <v>5.0621685358189711E-12</v>
      </c>
      <c r="R87" s="62">
        <f t="shared" si="55"/>
        <v>293.33333333333837</v>
      </c>
      <c r="S87" s="62">
        <f ca="1">AVERAGE(OFFSET($R$3,0,0,'Données projet'!$E$9+1,1))-AVERAGE(OFFSET($H$3,0,0,'Données projet'!$E$9+1,1))</f>
        <v>178.42783874015521</v>
      </c>
      <c r="T87" s="62">
        <f t="shared" si="88"/>
        <v>140.03904900962556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0.39750628662114407</v>
      </c>
      <c r="AB87" s="23">
        <f>EXP(-LN(2)/2)*AB86+(1-EXP(-LN(2)/2))/(LN(2)/2)*V87*Y87*VLOOKUP('Données projet'!$B$9,Paramètres!$A$1:$I$89,3,0)*0.475*44/12</f>
        <v>5.1179724799406437E-9</v>
      </c>
      <c r="AC87" s="24">
        <f t="shared" si="57"/>
        <v>0.39750629173911656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216.16876563248064</v>
      </c>
      <c r="AO87" s="62">
        <f t="shared" si="90"/>
        <v>137.55906339137317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0.51715087289872641</v>
      </c>
      <c r="AW87" s="23">
        <f>EXP(-LN(2)/2)*AW86+(1-EXP(-LN(2)/2))/(LN(2)/2)*AQ87*AT87*VLOOKUP('Données projet'!$B$10,Paramètres!$A$1:$I$89,3,0)*0.475*44/12</f>
        <v>3.2789907906095487E-8</v>
      </c>
      <c r="AX87" s="23">
        <f t="shared" si="60"/>
        <v>0.51715090568863431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3.6</v>
      </c>
      <c r="BD87" s="13">
        <f>IF('Données projet'!$A$88&gt;35,BD86+BC87-BL86,IF(A87&lt;'Données projet'!$A$88,$BA$205^A87,IF(A87='Données projet'!$A$88,'Données projet'!$B$88,BD86+BC87-BL86)))</f>
        <v>210.40000000000018</v>
      </c>
      <c r="BE87" s="14">
        <f>BD87*VLOOKUP('Données projet'!$B$11,Paramètres!$A$1:$I$89,3,0)*VLOOKUP('Données projet'!$B$11,Paramètres!$A$1:$I$89,5,0)</f>
        <v>137.8540800000001</v>
      </c>
      <c r="BF87" s="14">
        <f t="shared" si="91"/>
        <v>35.804964283629992</v>
      </c>
      <c r="BG87" s="22">
        <f t="shared" si="61"/>
        <v>302.45616879398909</v>
      </c>
      <c r="BH87" s="62">
        <f t="shared" si="62"/>
        <v>595.78950212732241</v>
      </c>
      <c r="BI87" s="62">
        <f ca="1">AVERAGE(OFFSET($BH$3,0,0,'Données projet'!$E$11+1,1))-AVERAGE(OFFSET($H$3,0,0,'Données projet'!$E$11+1,1))</f>
        <v>154.44480170404967</v>
      </c>
      <c r="BJ87" s="62">
        <f t="shared" si="92"/>
        <v>186.45728006007272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3.6</v>
      </c>
      <c r="BY87" s="13">
        <f>IF('Données projet'!$A$114&gt;35,BY86+BX87-CG86,IF(A87&lt;'Données projet'!$A$114,$BV$205^A87,IF(A87='Données projet'!$A$114,'Données projet'!$B$114,BY86+BX87-CG86)))</f>
        <v>210.40000000000018</v>
      </c>
      <c r="BZ87" s="14">
        <f>BY87*VLOOKUP('Données projet'!$B$12,Paramètres!$A$1:$I$89,3,0)*VLOOKUP('Données projet'!$B$12,Paramètres!$A$1:$I$89,5,0)</f>
        <v>137.8540800000001</v>
      </c>
      <c r="CA87" s="14">
        <f t="shared" si="93"/>
        <v>35.804964283629992</v>
      </c>
      <c r="CB87" s="22">
        <f t="shared" si="64"/>
        <v>302.45616879398909</v>
      </c>
      <c r="CC87" s="62">
        <f t="shared" si="65"/>
        <v>595.78950212732241</v>
      </c>
      <c r="CD87" s="62">
        <f ca="1">AVERAGE(OFFSET($CC$3,0,0,'Données projet'!$E$12+1,1))-AVERAGE(OFFSET($H$3,0,0,'Données projet'!$E$12+1,1))</f>
        <v>154.44480170404967</v>
      </c>
      <c r="CE87" s="62">
        <f t="shared" si="94"/>
        <v>186.45728006007272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9">
        <f t="shared" si="56"/>
        <v>397.99468935620564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3.4106051316484809E-13</v>
      </c>
      <c r="O88" s="14">
        <f>N88*VLOOKUP('Données projet'!$B$9,Paramètres!$A$1:$I$89,3,0)*VLOOKUP('Données projet'!$B$9,Paramètres!$A$1:$I$89,5,0)</f>
        <v>1.9508661353029313E-13</v>
      </c>
      <c r="P88" s="14">
        <f t="shared" si="87"/>
        <v>2.711421636700695E-12</v>
      </c>
      <c r="Q88" s="22">
        <f t="shared" si="54"/>
        <v>5.0621685358189711E-12</v>
      </c>
      <c r="R88" s="62">
        <f t="shared" si="55"/>
        <v>293.33333333333837</v>
      </c>
      <c r="S88" s="62">
        <f ca="1">AVERAGE(OFFSET($R$3,0,0,'Données projet'!$E$9+1,1))-AVERAGE(OFFSET($H$3,0,0,'Données projet'!$E$9+1,1))</f>
        <v>178.42783874015521</v>
      </c>
      <c r="T88" s="62">
        <f t="shared" si="88"/>
        <v>140.03904900962556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0.3866364563095418</v>
      </c>
      <c r="AB88" s="23">
        <f>EXP(-LN(2)/2)*AB87+(1-EXP(-LN(2)/2))/(LN(2)/2)*V88*Y88*VLOOKUP('Données projet'!$B$9,Paramètres!$A$1:$I$89,3,0)*0.475*44/12</f>
        <v>3.6189530464921611E-9</v>
      </c>
      <c r="AC88" s="24">
        <f t="shared" si="57"/>
        <v>0.38663645992849482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216.16876563248064</v>
      </c>
      <c r="AO88" s="62">
        <f t="shared" si="90"/>
        <v>137.55906339137317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0.50300935508352829</v>
      </c>
      <c r="AW88" s="23">
        <f>EXP(-LN(2)/2)*AW87+(1-EXP(-LN(2)/2))/(LN(2)/2)*AQ88*AT88*VLOOKUP('Données projet'!$B$10,Paramètres!$A$1:$I$89,3,0)*0.475*44/12</f>
        <v>2.3185966234882507E-8</v>
      </c>
      <c r="AX88" s="23">
        <f t="shared" si="60"/>
        <v>0.50300937826949454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214</v>
      </c>
      <c r="BB88" s="13">
        <f>VLOOKUP(A88,'Données projet'!$A$87:$I$107,9,0)</f>
        <v>3.6</v>
      </c>
      <c r="BC88" s="13">
        <f t="array" ref="BC88">INDEX(BB:BB,MIN(IF(ISNUMBER(BB88:BB284),ROW(BB88:BB284),"")))</f>
        <v>3.6</v>
      </c>
      <c r="BD88" s="13">
        <f>IF('Données projet'!$A$88&gt;35,BD87+BC88-BL87,IF(A88&lt;'Données projet'!$A$88,$BA$205^A88,IF(A88='Données projet'!$A$88,'Données projet'!$B$88,BD87+BC88-BL87)))</f>
        <v>214.00000000000017</v>
      </c>
      <c r="BE88" s="14">
        <f>BD88*VLOOKUP('Données projet'!$B$11,Paramètres!$A$1:$I$89,3,0)*VLOOKUP('Données projet'!$B$11,Paramètres!$A$1:$I$89,5,0)</f>
        <v>140.2128000000001</v>
      </c>
      <c r="BF88" s="14">
        <f t="shared" si="91"/>
        <v>36.345750676634587</v>
      </c>
      <c r="BG88" s="22">
        <f t="shared" si="61"/>
        <v>307.50614242847206</v>
      </c>
      <c r="BH88" s="62">
        <f t="shared" si="62"/>
        <v>600.83947576180537</v>
      </c>
      <c r="BI88" s="62">
        <f ca="1">AVERAGE(OFFSET($BH$3,0,0,'Données projet'!$E$11+1,1))-AVERAGE(OFFSET($H$3,0,0,'Données projet'!$E$11+1,1))</f>
        <v>154.44480170404967</v>
      </c>
      <c r="BJ88" s="62">
        <f t="shared" si="92"/>
        <v>186.45728006007272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214</v>
      </c>
      <c r="BW88" s="13">
        <f>VLOOKUP(A88,'Données projet'!$A$113:$I$133,9,0)</f>
        <v>3.6</v>
      </c>
      <c r="BX88" s="13">
        <f t="array" ref="BX88">INDEX(BW:BW,MIN(IF(ISNUMBER(BW88:BW284),ROW(BW88:BW284),"")))</f>
        <v>3.6</v>
      </c>
      <c r="BY88" s="13">
        <f>IF('Données projet'!$A$114&gt;35,BY87+BX88-CG87,IF(A88&lt;'Données projet'!$A$114,$BV$205^A88,IF(A88='Données projet'!$A$114,'Données projet'!$B$114,BY87+BX88-CG87)))</f>
        <v>214.00000000000017</v>
      </c>
      <c r="BZ88" s="14">
        <f>BY88*VLOOKUP('Données projet'!$B$12,Paramètres!$A$1:$I$89,3,0)*VLOOKUP('Données projet'!$B$12,Paramètres!$A$1:$I$89,5,0)</f>
        <v>140.2128000000001</v>
      </c>
      <c r="CA88" s="14">
        <f t="shared" si="93"/>
        <v>36.345750676634587</v>
      </c>
      <c r="CB88" s="22">
        <f t="shared" si="64"/>
        <v>307.50614242847206</v>
      </c>
      <c r="CC88" s="62">
        <f t="shared" si="65"/>
        <v>600.83947576180537</v>
      </c>
      <c r="CD88" s="62">
        <f ca="1">AVERAGE(OFFSET($CC$3,0,0,'Données projet'!$E$12+1,1))-AVERAGE(OFFSET($H$3,0,0,'Données projet'!$E$12+1,1))</f>
        <v>154.44480170404967</v>
      </c>
      <c r="CE88" s="62">
        <f t="shared" si="94"/>
        <v>186.45728006007272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9">
        <f t="shared" si="56"/>
        <v>399.19319663326939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3.4106051316484809E-13</v>
      </c>
      <c r="O89" s="14">
        <f>N89*VLOOKUP('Données projet'!$B$9,Paramètres!$A$1:$I$89,3,0)*VLOOKUP('Données projet'!$B$9,Paramètres!$A$1:$I$89,5,0)</f>
        <v>1.9508661353029313E-13</v>
      </c>
      <c r="P89" s="14">
        <f t="shared" si="87"/>
        <v>2.711421636700695E-12</v>
      </c>
      <c r="Q89" s="22">
        <f t="shared" si="54"/>
        <v>5.0621685358189711E-12</v>
      </c>
      <c r="R89" s="62">
        <f t="shared" si="55"/>
        <v>293.33333333333837</v>
      </c>
      <c r="S89" s="62">
        <f ca="1">AVERAGE(OFFSET($R$3,0,0,'Données projet'!$E$9+1,1))-AVERAGE(OFFSET($H$3,0,0,'Données projet'!$E$9+1,1))</f>
        <v>178.42783874015521</v>
      </c>
      <c r="T89" s="62">
        <f t="shared" si="88"/>
        <v>140.03904900962556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0.37606386207942982</v>
      </c>
      <c r="AB89" s="23">
        <f>EXP(-LN(2)/2)*AB88+(1-EXP(-LN(2)/2))/(LN(2)/2)*V89*Y89*VLOOKUP('Données projet'!$B$9,Paramètres!$A$1:$I$89,3,0)*0.475*44/12</f>
        <v>2.5589862399703223E-9</v>
      </c>
      <c r="AC89" s="24">
        <f t="shared" si="57"/>
        <v>0.37606386463841607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216.16876563248064</v>
      </c>
      <c r="AO89" s="62">
        <f t="shared" si="90"/>
        <v>137.55906339137317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0.48925453781665684</v>
      </c>
      <c r="AW89" s="23">
        <f>EXP(-LN(2)/2)*AW88+(1-EXP(-LN(2)/2))/(LN(2)/2)*AQ89*AT89*VLOOKUP('Données projet'!$B$10,Paramètres!$A$1:$I$89,3,0)*0.475*44/12</f>
        <v>1.6394953953047744E-8</v>
      </c>
      <c r="AX89" s="23">
        <f t="shared" si="60"/>
        <v>0.48925455421161079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3.4</v>
      </c>
      <c r="BD89" s="13">
        <f>IF('Données projet'!$A$88&gt;35,BD88+BC89-BL88,IF(A89&lt;'Données projet'!$A$88,$BA$205^A89,IF(A89='Données projet'!$A$88,'Données projet'!$B$88,BD88+BC89-BL88)))</f>
        <v>217.40000000000018</v>
      </c>
      <c r="BE89" s="14">
        <f>BD89*VLOOKUP('Données projet'!$B$11,Paramètres!$A$1:$I$89,3,0)*VLOOKUP('Données projet'!$B$11,Paramètres!$A$1:$I$89,5,0)</f>
        <v>142.44048000000009</v>
      </c>
      <c r="BF89" s="14">
        <f t="shared" si="91"/>
        <v>36.855521628538284</v>
      </c>
      <c r="BG89" s="22">
        <f t="shared" si="61"/>
        <v>312.27386950303764</v>
      </c>
      <c r="BH89" s="62">
        <f t="shared" si="62"/>
        <v>605.60720283637102</v>
      </c>
      <c r="BI89" s="62">
        <f ca="1">AVERAGE(OFFSET($BH$3,0,0,'Données projet'!$E$11+1,1))-AVERAGE(OFFSET($H$3,0,0,'Données projet'!$E$11+1,1))</f>
        <v>154.44480170404967</v>
      </c>
      <c r="BJ89" s="62">
        <f t="shared" si="92"/>
        <v>186.45728006007272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3.4</v>
      </c>
      <c r="BY89" s="13">
        <f>IF('Données projet'!$A$114&gt;35,BY88+BX89-CG88,IF(A89&lt;'Données projet'!$A$114,$BV$205^A89,IF(A89='Données projet'!$A$114,'Données projet'!$B$114,BY88+BX89-CG88)))</f>
        <v>217.40000000000018</v>
      </c>
      <c r="BZ89" s="14">
        <f>BY89*VLOOKUP('Données projet'!$B$12,Paramètres!$A$1:$I$89,3,0)*VLOOKUP('Données projet'!$B$12,Paramètres!$A$1:$I$89,5,0)</f>
        <v>142.44048000000009</v>
      </c>
      <c r="CA89" s="14">
        <f t="shared" si="93"/>
        <v>36.855521628538284</v>
      </c>
      <c r="CB89" s="22">
        <f t="shared" si="64"/>
        <v>312.27386950303764</v>
      </c>
      <c r="CC89" s="62">
        <f t="shared" si="65"/>
        <v>605.60720283637102</v>
      </c>
      <c r="CD89" s="62">
        <f ca="1">AVERAGE(OFFSET($CC$3,0,0,'Données projet'!$E$12+1,1))-AVERAGE(OFFSET($H$3,0,0,'Données projet'!$E$12+1,1))</f>
        <v>154.44480170404967</v>
      </c>
      <c r="CE89" s="62">
        <f t="shared" si="94"/>
        <v>186.45728006007272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9">
        <f t="shared" si="56"/>
        <v>400.39136906310915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3.4106051316484809E-13</v>
      </c>
      <c r="O90" s="14">
        <f>N90*VLOOKUP('Données projet'!$B$9,Paramètres!$A$1:$I$89,3,0)*VLOOKUP('Données projet'!$B$9,Paramètres!$A$1:$I$89,5,0)</f>
        <v>1.9508661353029313E-13</v>
      </c>
      <c r="P90" s="14">
        <f t="shared" si="87"/>
        <v>2.711421636700695E-12</v>
      </c>
      <c r="Q90" s="22">
        <f t="shared" si="54"/>
        <v>5.0621685358189711E-12</v>
      </c>
      <c r="R90" s="62">
        <f t="shared" si="55"/>
        <v>293.33333333333837</v>
      </c>
      <c r="S90" s="62">
        <f ca="1">AVERAGE(OFFSET($R$3,0,0,'Données projet'!$E$9+1,1))-AVERAGE(OFFSET($H$3,0,0,'Données projet'!$E$9+1,1))</f>
        <v>178.42783874015521</v>
      </c>
      <c r="T90" s="62">
        <f t="shared" si="88"/>
        <v>140.03904900962556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0.36578037599452884</v>
      </c>
      <c r="AB90" s="23">
        <f>EXP(-LN(2)/2)*AB89+(1-EXP(-LN(2)/2))/(LN(2)/2)*V90*Y90*VLOOKUP('Données projet'!$B$9,Paramètres!$A$1:$I$89,3,0)*0.475*44/12</f>
        <v>1.8094765232460807E-9</v>
      </c>
      <c r="AC90" s="24">
        <f t="shared" si="57"/>
        <v>0.36578037780400535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216.16876563248064</v>
      </c>
      <c r="AO90" s="62">
        <f t="shared" si="90"/>
        <v>137.55906339137317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0.47587584675128242</v>
      </c>
      <c r="AW90" s="23">
        <f>EXP(-LN(2)/2)*AW89+(1-EXP(-LN(2)/2))/(LN(2)/2)*AQ90*AT90*VLOOKUP('Données projet'!$B$10,Paramètres!$A$1:$I$89,3,0)*0.475*44/12</f>
        <v>1.1592983117441253E-8</v>
      </c>
      <c r="AX90" s="23">
        <f t="shared" si="60"/>
        <v>0.47587585834426555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3.4</v>
      </c>
      <c r="BD90" s="13">
        <f>IF('Données projet'!$A$88&gt;35,BD89+BC90-BL89,IF(A90&lt;'Données projet'!$A$88,$BA$205^A90,IF(A90='Données projet'!$A$88,'Données projet'!$B$88,BD89+BC90-BL89)))</f>
        <v>220.80000000000018</v>
      </c>
      <c r="BE90" s="14">
        <f>BD90*VLOOKUP('Données projet'!$B$11,Paramètres!$A$1:$I$89,3,0)*VLOOKUP('Données projet'!$B$11,Paramètres!$A$1:$I$89,5,0)</f>
        <v>144.66816000000011</v>
      </c>
      <c r="BF90" s="14">
        <f t="shared" si="91"/>
        <v>37.364365385783195</v>
      </c>
      <c r="BG90" s="22">
        <f t="shared" si="61"/>
        <v>317.03998171357262</v>
      </c>
      <c r="BH90" s="62">
        <f t="shared" si="62"/>
        <v>610.37331504690587</v>
      </c>
      <c r="BI90" s="62">
        <f ca="1">AVERAGE(OFFSET($BH$3,0,0,'Données projet'!$E$11+1,1))-AVERAGE(OFFSET($H$3,0,0,'Données projet'!$E$11+1,1))</f>
        <v>154.44480170404967</v>
      </c>
      <c r="BJ90" s="62">
        <f t="shared" si="92"/>
        <v>186.45728006007272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3.4</v>
      </c>
      <c r="BY90" s="13">
        <f>IF('Données projet'!$A$114&gt;35,BY89+BX90-CG89,IF(A90&lt;'Données projet'!$A$114,$BV$205^A90,IF(A90='Données projet'!$A$114,'Données projet'!$B$114,BY89+BX90-CG89)))</f>
        <v>220.80000000000018</v>
      </c>
      <c r="BZ90" s="14">
        <f>BY90*VLOOKUP('Données projet'!$B$12,Paramètres!$A$1:$I$89,3,0)*VLOOKUP('Données projet'!$B$12,Paramètres!$A$1:$I$89,5,0)</f>
        <v>144.66816000000011</v>
      </c>
      <c r="CA90" s="14">
        <f t="shared" si="93"/>
        <v>37.364365385783195</v>
      </c>
      <c r="CB90" s="22">
        <f t="shared" si="64"/>
        <v>317.03998171357262</v>
      </c>
      <c r="CC90" s="62">
        <f t="shared" si="65"/>
        <v>610.37331504690587</v>
      </c>
      <c r="CD90" s="62">
        <f ca="1">AVERAGE(OFFSET($CC$3,0,0,'Données projet'!$E$12+1,1))-AVERAGE(OFFSET($H$3,0,0,'Données projet'!$E$12+1,1))</f>
        <v>154.44480170404967</v>
      </c>
      <c r="CE90" s="62">
        <f t="shared" si="94"/>
        <v>186.45728006007272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9">
        <f t="shared" si="56"/>
        <v>401.58921093986299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3.4106051316484809E-13</v>
      </c>
      <c r="O91" s="14">
        <f>N91*VLOOKUP('Données projet'!$B$9,Paramètres!$A$1:$I$89,3,0)*VLOOKUP('Données projet'!$B$9,Paramètres!$A$1:$I$89,5,0)</f>
        <v>1.9508661353029313E-13</v>
      </c>
      <c r="P91" s="14">
        <f t="shared" si="87"/>
        <v>2.711421636700695E-12</v>
      </c>
      <c r="Q91" s="22">
        <f t="shared" si="54"/>
        <v>5.0621685358189711E-12</v>
      </c>
      <c r="R91" s="62">
        <f t="shared" si="55"/>
        <v>293.33333333333837</v>
      </c>
      <c r="S91" s="62">
        <f ca="1">AVERAGE(OFFSET($R$3,0,0,'Données projet'!$E$9+1,1))-AVERAGE(OFFSET($H$3,0,0,'Données projet'!$E$9+1,1))</f>
        <v>178.42783874015521</v>
      </c>
      <c r="T91" s="62">
        <f t="shared" si="88"/>
        <v>140.03904900962556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0.35577809237740449</v>
      </c>
      <c r="AB91" s="23">
        <f>EXP(-LN(2)/2)*AB90+(1-EXP(-LN(2)/2))/(LN(2)/2)*V91*Y91*VLOOKUP('Données projet'!$B$9,Paramètres!$A$1:$I$89,3,0)*0.475*44/12</f>
        <v>1.2794931199851613E-9</v>
      </c>
      <c r="AC91" s="24">
        <f t="shared" si="57"/>
        <v>0.35577809365689761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216.16876563248064</v>
      </c>
      <c r="AO91" s="62">
        <f t="shared" si="90"/>
        <v>137.55906339137317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0.46286299669664543</v>
      </c>
      <c r="AW91" s="23">
        <f>EXP(-LN(2)/2)*AW90+(1-EXP(-LN(2)/2))/(LN(2)/2)*AQ91*AT91*VLOOKUP('Données projet'!$B$10,Paramètres!$A$1:$I$89,3,0)*0.475*44/12</f>
        <v>8.1974769765238718E-9</v>
      </c>
      <c r="AX91" s="23">
        <f t="shared" si="60"/>
        <v>0.46286300489412241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3.4</v>
      </c>
      <c r="BD91" s="13">
        <f>IF('Données projet'!$A$88&gt;35,BD90+BC91-BL90,IF(A91&lt;'Données projet'!$A$88,$BA$205^A91,IF(A91='Données projet'!$A$88,'Données projet'!$B$88,BD90+BC91-BL90)))</f>
        <v>224.20000000000019</v>
      </c>
      <c r="BE91" s="14">
        <f>BD91*VLOOKUP('Données projet'!$B$11,Paramètres!$A$1:$I$89,3,0)*VLOOKUP('Données projet'!$B$11,Paramètres!$A$1:$I$89,5,0)</f>
        <v>146.89584000000011</v>
      </c>
      <c r="BF91" s="14">
        <f t="shared" si="91"/>
        <v>37.872297874710284</v>
      </c>
      <c r="BG91" s="22">
        <f t="shared" si="61"/>
        <v>321.80450679845393</v>
      </c>
      <c r="BH91" s="62">
        <f t="shared" si="62"/>
        <v>615.13784013178724</v>
      </c>
      <c r="BI91" s="62">
        <f ca="1">AVERAGE(OFFSET($BH$3,0,0,'Données projet'!$E$11+1,1))-AVERAGE(OFFSET($H$3,0,0,'Données projet'!$E$11+1,1))</f>
        <v>154.44480170404967</v>
      </c>
      <c r="BJ91" s="62">
        <f t="shared" si="92"/>
        <v>186.45728006007272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3.4</v>
      </c>
      <c r="BY91" s="13">
        <f>IF('Données projet'!$A$114&gt;35,BY90+BX91-CG90,IF(A91&lt;'Données projet'!$A$114,$BV$205^A91,IF(A91='Données projet'!$A$114,'Données projet'!$B$114,BY90+BX91-CG90)))</f>
        <v>224.20000000000019</v>
      </c>
      <c r="BZ91" s="14">
        <f>BY91*VLOOKUP('Données projet'!$B$12,Paramètres!$A$1:$I$89,3,0)*VLOOKUP('Données projet'!$B$12,Paramètres!$A$1:$I$89,5,0)</f>
        <v>146.89584000000011</v>
      </c>
      <c r="CA91" s="14">
        <f t="shared" si="93"/>
        <v>37.872297874710284</v>
      </c>
      <c r="CB91" s="22">
        <f t="shared" si="64"/>
        <v>321.80450679845393</v>
      </c>
      <c r="CC91" s="62">
        <f t="shared" si="65"/>
        <v>615.13784013178724</v>
      </c>
      <c r="CD91" s="62">
        <f ca="1">AVERAGE(OFFSET($CC$3,0,0,'Données projet'!$E$12+1,1))-AVERAGE(OFFSET($H$3,0,0,'Données projet'!$E$12+1,1))</f>
        <v>154.44480170404967</v>
      </c>
      <c r="CE91" s="62">
        <f t="shared" si="94"/>
        <v>186.45728006007272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9">
        <f t="shared" si="56"/>
        <v>402.78672645445664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3.4106051316484809E-13</v>
      </c>
      <c r="O92" s="14">
        <f>N92*VLOOKUP('Données projet'!$B$9,Paramètres!$A$1:$I$89,3,0)*VLOOKUP('Données projet'!$B$9,Paramètres!$A$1:$I$89,5,0)</f>
        <v>1.9508661353029313E-13</v>
      </c>
      <c r="P92" s="14">
        <f t="shared" si="87"/>
        <v>2.711421636700695E-12</v>
      </c>
      <c r="Q92" s="22">
        <f t="shared" si="54"/>
        <v>5.0621685358189711E-12</v>
      </c>
      <c r="R92" s="62">
        <f t="shared" si="55"/>
        <v>293.33333333333837</v>
      </c>
      <c r="S92" s="62">
        <f ca="1">AVERAGE(OFFSET($R$3,0,0,'Données projet'!$E$9+1,1))-AVERAGE(OFFSET($H$3,0,0,'Données projet'!$E$9+1,1))</f>
        <v>178.42783874015521</v>
      </c>
      <c r="T92" s="62">
        <f t="shared" si="88"/>
        <v>140.03904900962556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0.34604932173178765</v>
      </c>
      <c r="AB92" s="23">
        <f>EXP(-LN(2)/2)*AB91+(1-EXP(-LN(2)/2))/(LN(2)/2)*V92*Y92*VLOOKUP('Données projet'!$B$9,Paramètres!$A$1:$I$89,3,0)*0.475*44/12</f>
        <v>9.0473826162304057E-10</v>
      </c>
      <c r="AC92" s="24">
        <f t="shared" si="57"/>
        <v>0.34604932263652594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216.16876563248064</v>
      </c>
      <c r="AO92" s="62">
        <f t="shared" si="90"/>
        <v>137.55906339137317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0.45020598371106857</v>
      </c>
      <c r="AW92" s="23">
        <f>EXP(-LN(2)/2)*AW91+(1-EXP(-LN(2)/2))/(LN(2)/2)*AQ92*AT92*VLOOKUP('Données projet'!$B$10,Paramètres!$A$1:$I$89,3,0)*0.475*44/12</f>
        <v>5.7964915587206267E-9</v>
      </c>
      <c r="AX92" s="23">
        <f t="shared" si="60"/>
        <v>0.45020598950756013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3.4</v>
      </c>
      <c r="BD92" s="13">
        <f>IF('Données projet'!$A$88&gt;35,BD91+BC92-BL91,IF(A92&lt;'Données projet'!$A$88,$BA$205^A92,IF(A92='Données projet'!$A$88,'Données projet'!$B$88,BD91+BC92-BL91)))</f>
        <v>227.60000000000019</v>
      </c>
      <c r="BE92" s="14">
        <f>BD92*VLOOKUP('Données projet'!$B$11,Paramètres!$A$1:$I$89,3,0)*VLOOKUP('Données projet'!$B$11,Paramètres!$A$1:$I$89,5,0)</f>
        <v>149.12352000000013</v>
      </c>
      <c r="BF92" s="14">
        <f t="shared" si="91"/>
        <v>38.379334510892704</v>
      </c>
      <c r="BG92" s="22">
        <f t="shared" si="61"/>
        <v>326.56747160647166</v>
      </c>
      <c r="BH92" s="62">
        <f t="shared" si="62"/>
        <v>619.90080493980497</v>
      </c>
      <c r="BI92" s="62">
        <f ca="1">AVERAGE(OFFSET($BH$3,0,0,'Données projet'!$E$11+1,1))-AVERAGE(OFFSET($H$3,0,0,'Données projet'!$E$11+1,1))</f>
        <v>154.44480170404967</v>
      </c>
      <c r="BJ92" s="62">
        <f t="shared" si="92"/>
        <v>186.45728006007272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3.4</v>
      </c>
      <c r="BY92" s="13">
        <f>IF('Données projet'!$A$114&gt;35,BY91+BX92-CG91,IF(A92&lt;'Données projet'!$A$114,$BV$205^A92,IF(A92='Données projet'!$A$114,'Données projet'!$B$114,BY91+BX92-CG91)))</f>
        <v>227.60000000000019</v>
      </c>
      <c r="BZ92" s="14">
        <f>BY92*VLOOKUP('Données projet'!$B$12,Paramètres!$A$1:$I$89,3,0)*VLOOKUP('Données projet'!$B$12,Paramètres!$A$1:$I$89,5,0)</f>
        <v>149.12352000000013</v>
      </c>
      <c r="CA92" s="14">
        <f t="shared" si="93"/>
        <v>38.379334510892704</v>
      </c>
      <c r="CB92" s="22">
        <f t="shared" si="64"/>
        <v>326.56747160647166</v>
      </c>
      <c r="CC92" s="62">
        <f t="shared" si="65"/>
        <v>619.90080493980497</v>
      </c>
      <c r="CD92" s="62">
        <f ca="1">AVERAGE(OFFSET($CC$3,0,0,'Données projet'!$E$12+1,1))-AVERAGE(OFFSET($H$3,0,0,'Données projet'!$E$12+1,1))</f>
        <v>154.44480170404967</v>
      </c>
      <c r="CE92" s="62">
        <f t="shared" si="94"/>
        <v>186.45728006007272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9">
        <f t="shared" si="56"/>
        <v>403.98391969821557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3.4106051316484809E-13</v>
      </c>
      <c r="O93" s="14">
        <f>N93*VLOOKUP('Données projet'!$B$9,Paramètres!$A$1:$I$89,3,0)*VLOOKUP('Données projet'!$B$9,Paramètres!$A$1:$I$89,5,0)</f>
        <v>1.9508661353029313E-13</v>
      </c>
      <c r="P93" s="14">
        <f t="shared" si="87"/>
        <v>2.711421636700695E-12</v>
      </c>
      <c r="Q93" s="22">
        <f t="shared" si="54"/>
        <v>5.0621685358189711E-12</v>
      </c>
      <c r="R93" s="62">
        <f t="shared" si="55"/>
        <v>293.33333333333837</v>
      </c>
      <c r="S93" s="62">
        <f ca="1">AVERAGE(OFFSET($R$3,0,0,'Données projet'!$E$9+1,1))-AVERAGE(OFFSET($H$3,0,0,'Données projet'!$E$9+1,1))</f>
        <v>178.42783874015521</v>
      </c>
      <c r="T93" s="62">
        <f t="shared" si="88"/>
        <v>140.03904900962556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0.336586584831089</v>
      </c>
      <c r="AB93" s="23">
        <f>EXP(-LN(2)/2)*AB92+(1-EXP(-LN(2)/2))/(LN(2)/2)*V93*Y93*VLOOKUP('Données projet'!$B$9,Paramètres!$A$1:$I$89,3,0)*0.475*44/12</f>
        <v>6.3974655999258078E-10</v>
      </c>
      <c r="AC93" s="24">
        <f t="shared" si="57"/>
        <v>0.33658658547083553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216.16876563248064</v>
      </c>
      <c r="AO93" s="62">
        <f t="shared" si="90"/>
        <v>137.55906339137317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0.43789507741118566</v>
      </c>
      <c r="AW93" s="23">
        <f>EXP(-LN(2)/2)*AW92+(1-EXP(-LN(2)/2))/(LN(2)/2)*AQ93*AT93*VLOOKUP('Données projet'!$B$10,Paramètres!$A$1:$I$89,3,0)*0.475*44/12</f>
        <v>4.0987384882619359E-9</v>
      </c>
      <c r="AX93" s="23">
        <f t="shared" si="60"/>
        <v>0.43789508150992418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231</v>
      </c>
      <c r="BB93" s="13">
        <f>VLOOKUP(A93,'Données projet'!$A$87:$I$107,9,0)</f>
        <v>3.4</v>
      </c>
      <c r="BC93" s="13">
        <f t="array" ref="BC93">INDEX(BB:BB,MIN(IF(ISNUMBER(BB93:BB289),ROW(BB93:BB289),"")))</f>
        <v>3.4</v>
      </c>
      <c r="BD93" s="13">
        <f>IF('Données projet'!$A$88&gt;35,BD92+BC93-BL92,IF(A93&lt;'Données projet'!$A$88,$BA$205^A93,IF(A93='Données projet'!$A$88,'Données projet'!$B$88,BD92+BC93-BL92)))</f>
        <v>231.0000000000002</v>
      </c>
      <c r="BE93" s="14">
        <f>BD93*VLOOKUP('Données projet'!$B$11,Paramètres!$A$1:$I$89,3,0)*VLOOKUP('Données projet'!$B$11,Paramètres!$A$1:$I$89,5,0)</f>
        <v>151.35120000000012</v>
      </c>
      <c r="BF93" s="14">
        <f t="shared" si="91"/>
        <v>38.885490222897111</v>
      </c>
      <c r="BG93" s="22">
        <f t="shared" si="61"/>
        <v>331.32890213821264</v>
      </c>
      <c r="BH93" s="62">
        <f t="shared" si="62"/>
        <v>624.66223547154596</v>
      </c>
      <c r="BI93" s="62">
        <f ca="1">AVERAGE(OFFSET($BH$3,0,0,'Données projet'!$E$11+1,1))-AVERAGE(OFFSET($H$3,0,0,'Données projet'!$E$11+1,1))</f>
        <v>154.44480170404967</v>
      </c>
      <c r="BJ93" s="62">
        <f t="shared" si="92"/>
        <v>186.45728006007272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231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231</v>
      </c>
      <c r="BW93" s="13">
        <f>VLOOKUP(A93,'Données projet'!$A$113:$I$133,9,0)</f>
        <v>3.4</v>
      </c>
      <c r="BX93" s="13">
        <f t="array" ref="BX93">INDEX(BW:BW,MIN(IF(ISNUMBER(BW93:BW289),ROW(BW93:BW289),"")))</f>
        <v>3.4</v>
      </c>
      <c r="BY93" s="13">
        <f>IF('Données projet'!$A$114&gt;35,BY92+BX93-CG92,IF(A93&lt;'Données projet'!$A$114,$BV$205^A93,IF(A93='Données projet'!$A$114,'Données projet'!$B$114,BY92+BX93-CG92)))</f>
        <v>231.0000000000002</v>
      </c>
      <c r="BZ93" s="14">
        <f>BY93*VLOOKUP('Données projet'!$B$12,Paramètres!$A$1:$I$89,3,0)*VLOOKUP('Données projet'!$B$12,Paramètres!$A$1:$I$89,5,0)</f>
        <v>151.35120000000012</v>
      </c>
      <c r="CA93" s="14">
        <f t="shared" si="93"/>
        <v>38.885490222897111</v>
      </c>
      <c r="CB93" s="22">
        <f t="shared" si="64"/>
        <v>331.32890213821264</v>
      </c>
      <c r="CC93" s="62">
        <f t="shared" si="65"/>
        <v>624.66223547154596</v>
      </c>
      <c r="CD93" s="62">
        <f ca="1">AVERAGE(OFFSET($CC$3,0,0,'Données projet'!$E$12+1,1))-AVERAGE(OFFSET($H$3,0,0,'Données projet'!$E$12+1,1))</f>
        <v>154.44480170404967</v>
      </c>
      <c r="CE93" s="62">
        <f t="shared" si="94"/>
        <v>186.45728006007272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231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9">
        <f t="shared" si="56"/>
        <v>405.18079466631161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3.4106051316484809E-13</v>
      </c>
      <c r="O94" s="14">
        <f>N94*VLOOKUP('Données projet'!$B$9,Paramètres!$A$1:$I$89,3,0)*VLOOKUP('Données projet'!$B$9,Paramètres!$A$1:$I$89,5,0)</f>
        <v>1.9508661353029313E-13</v>
      </c>
      <c r="P94" s="14">
        <f t="shared" si="87"/>
        <v>2.711421636700695E-12</v>
      </c>
      <c r="Q94" s="22">
        <f t="shared" si="54"/>
        <v>5.0621685358189711E-12</v>
      </c>
      <c r="R94" s="62">
        <f t="shared" si="55"/>
        <v>293.33333333333837</v>
      </c>
      <c r="S94" s="62">
        <f ca="1">AVERAGE(OFFSET($R$3,0,0,'Données projet'!$E$9+1,1))-AVERAGE(OFFSET($H$3,0,0,'Données projet'!$E$9+1,1))</f>
        <v>178.42783874015521</v>
      </c>
      <c r="T94" s="62">
        <f t="shared" si="88"/>
        <v>140.03904900962556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0.32738260696856364</v>
      </c>
      <c r="AB94" s="23">
        <f>EXP(-LN(2)/2)*AB93+(1-EXP(-LN(2)/2))/(LN(2)/2)*V94*Y94*VLOOKUP('Données projet'!$B$9,Paramètres!$A$1:$I$89,3,0)*0.475*44/12</f>
        <v>4.5236913081152034E-10</v>
      </c>
      <c r="AC94" s="24">
        <f t="shared" si="57"/>
        <v>0.32738260742093278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216.16876563248064</v>
      </c>
      <c r="AO94" s="62">
        <f t="shared" si="90"/>
        <v>137.55906339137317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0.42592081349147548</v>
      </c>
      <c r="AW94" s="23">
        <f>EXP(-LN(2)/2)*AW93+(1-EXP(-LN(2)/2))/(LN(2)/2)*AQ94*AT94*VLOOKUP('Données projet'!$B$10,Paramètres!$A$1:$I$89,3,0)*0.475*44/12</f>
        <v>2.8982457793603133E-9</v>
      </c>
      <c r="AX94" s="23">
        <f t="shared" si="60"/>
        <v>0.42592081638972124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1.9895196601282805E-13</v>
      </c>
      <c r="BE94" s="14">
        <f>BD94*VLOOKUP('Données projet'!$B$11,Paramètres!$A$1:$I$89,3,0)*VLOOKUP('Données projet'!$B$11,Paramètres!$A$1:$I$89,5,0)</f>
        <v>1.3035332813160495E-13</v>
      </c>
      <c r="BF94" s="14">
        <f t="shared" si="91"/>
        <v>1.8987770485018903E-12</v>
      </c>
      <c r="BG94" s="22">
        <f t="shared" si="61"/>
        <v>3.5340687393033375E-12</v>
      </c>
      <c r="BH94" s="62">
        <f t="shared" si="62"/>
        <v>293.33333333333684</v>
      </c>
      <c r="BI94" s="62">
        <f ca="1">AVERAGE(OFFSET($BH$3,0,0,'Données projet'!$E$11+1,1))-AVERAGE(OFFSET($H$3,0,0,'Données projet'!$E$11+1,1))</f>
        <v>154.44480170404967</v>
      </c>
      <c r="BJ94" s="62">
        <f t="shared" si="92"/>
        <v>186.45728006007272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1.9895196601282805E-13</v>
      </c>
      <c r="BZ94" s="14">
        <f>BY94*VLOOKUP('Données projet'!$B$12,Paramètres!$A$1:$I$89,3,0)*VLOOKUP('Données projet'!$B$12,Paramètres!$A$1:$I$89,5,0)</f>
        <v>1.3035332813160495E-13</v>
      </c>
      <c r="CA94" s="14">
        <f t="shared" si="93"/>
        <v>1.8987770485018903E-12</v>
      </c>
      <c r="CB94" s="22">
        <f t="shared" si="64"/>
        <v>3.5340687393033375E-12</v>
      </c>
      <c r="CC94" s="62">
        <f t="shared" si="65"/>
        <v>293.33333333333684</v>
      </c>
      <c r="CD94" s="62">
        <f ca="1">AVERAGE(OFFSET($CC$3,0,0,'Données projet'!$E$12+1,1))-AVERAGE(OFFSET($H$3,0,0,'Données projet'!$E$12+1,1))</f>
        <v>154.44480170404967</v>
      </c>
      <c r="CE94" s="62">
        <f t="shared" si="94"/>
        <v>186.45728006007272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9">
        <f t="shared" si="56"/>
        <v>406.37735526105428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3.4106051316484809E-13</v>
      </c>
      <c r="O95" s="14">
        <f>N95*VLOOKUP('Données projet'!$B$9,Paramètres!$A$1:$I$89,3,0)*VLOOKUP('Données projet'!$B$9,Paramètres!$A$1:$I$89,5,0)</f>
        <v>1.9508661353029313E-13</v>
      </c>
      <c r="P95" s="14">
        <f t="shared" si="87"/>
        <v>2.711421636700695E-12</v>
      </c>
      <c r="Q95" s="22">
        <f t="shared" si="54"/>
        <v>5.0621685358189711E-12</v>
      </c>
      <c r="R95" s="62">
        <f t="shared" si="55"/>
        <v>293.33333333333837</v>
      </c>
      <c r="S95" s="62">
        <f ca="1">AVERAGE(OFFSET($R$3,0,0,'Données projet'!$E$9+1,1))-AVERAGE(OFFSET($H$3,0,0,'Données projet'!$E$9+1,1))</f>
        <v>178.42783874015521</v>
      </c>
      <c r="T95" s="62">
        <f t="shared" si="88"/>
        <v>140.03904900962556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0.3184303123647052</v>
      </c>
      <c r="AB95" s="23">
        <f>EXP(-LN(2)/2)*AB94+(1-EXP(-LN(2)/2))/(LN(2)/2)*V95*Y95*VLOOKUP('Données projet'!$B$9,Paramètres!$A$1:$I$89,3,0)*0.475*44/12</f>
        <v>3.1987327999629044E-10</v>
      </c>
      <c r="AC95" s="24">
        <f t="shared" si="57"/>
        <v>0.3184303126845785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216.16876563248064</v>
      </c>
      <c r="AO95" s="62">
        <f t="shared" si="90"/>
        <v>137.55906339137317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0.41427398644834895</v>
      </c>
      <c r="AW95" s="23">
        <f>EXP(-LN(2)/2)*AW94+(1-EXP(-LN(2)/2))/(LN(2)/2)*AQ95*AT95*VLOOKUP('Données projet'!$B$10,Paramètres!$A$1:$I$89,3,0)*0.475*44/12</f>
        <v>2.049369244130968E-9</v>
      </c>
      <c r="AX95" s="23">
        <f t="shared" si="60"/>
        <v>0.41427398849771818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1.9895196601282805E-13</v>
      </c>
      <c r="BE95" s="14">
        <f>BD95*VLOOKUP('Données projet'!$B$11,Paramètres!$A$1:$I$89,3,0)*VLOOKUP('Données projet'!$B$11,Paramètres!$A$1:$I$89,5,0)</f>
        <v>1.3035332813160495E-13</v>
      </c>
      <c r="BF95" s="14">
        <f t="shared" si="91"/>
        <v>1.8987770485018903E-12</v>
      </c>
      <c r="BG95" s="22">
        <f t="shared" si="61"/>
        <v>3.5340687393033375E-12</v>
      </c>
      <c r="BH95" s="62">
        <f t="shared" si="62"/>
        <v>293.33333333333684</v>
      </c>
      <c r="BI95" s="62">
        <f ca="1">AVERAGE(OFFSET($BH$3,0,0,'Données projet'!$E$11+1,1))-AVERAGE(OFFSET($H$3,0,0,'Données projet'!$E$11+1,1))</f>
        <v>154.44480170404967</v>
      </c>
      <c r="BJ95" s="62">
        <f t="shared" si="92"/>
        <v>186.45728006007272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1.9895196601282805E-13</v>
      </c>
      <c r="BZ95" s="14">
        <f>BY95*VLOOKUP('Données projet'!$B$12,Paramètres!$A$1:$I$89,3,0)*VLOOKUP('Données projet'!$B$12,Paramètres!$A$1:$I$89,5,0)</f>
        <v>1.3035332813160495E-13</v>
      </c>
      <c r="CA95" s="14">
        <f t="shared" si="93"/>
        <v>1.8987770485018903E-12</v>
      </c>
      <c r="CB95" s="22">
        <f t="shared" si="64"/>
        <v>3.5340687393033375E-12</v>
      </c>
      <c r="CC95" s="62">
        <f t="shared" si="65"/>
        <v>293.33333333333684</v>
      </c>
      <c r="CD95" s="62">
        <f ca="1">AVERAGE(OFFSET($CC$3,0,0,'Données projet'!$E$12+1,1))-AVERAGE(OFFSET($H$3,0,0,'Données projet'!$E$12+1,1))</f>
        <v>154.44480170404967</v>
      </c>
      <c r="CE95" s="62">
        <f t="shared" si="94"/>
        <v>186.45728006007272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9">
        <f t="shared" si="56"/>
        <v>407.57360529503438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3.4106051316484809E-13</v>
      </c>
      <c r="O96" s="14">
        <f>N96*VLOOKUP('Données projet'!$B$9,Paramètres!$A$1:$I$89,3,0)*VLOOKUP('Données projet'!$B$9,Paramètres!$A$1:$I$89,5,0)</f>
        <v>1.9508661353029313E-13</v>
      </c>
      <c r="P96" s="14">
        <f t="shared" si="87"/>
        <v>2.711421636700695E-12</v>
      </c>
      <c r="Q96" s="22">
        <f t="shared" si="54"/>
        <v>5.0621685358189711E-12</v>
      </c>
      <c r="R96" s="62">
        <f t="shared" si="55"/>
        <v>293.33333333333837</v>
      </c>
      <c r="S96" s="62">
        <f ca="1">AVERAGE(OFFSET($R$3,0,0,'Données projet'!$E$9+1,1))-AVERAGE(OFFSET($H$3,0,0,'Données projet'!$E$9+1,1))</f>
        <v>178.42783874015521</v>
      </c>
      <c r="T96" s="62">
        <f t="shared" si="88"/>
        <v>140.03904900962556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0.30972281872757002</v>
      </c>
      <c r="AB96" s="23">
        <f>EXP(-LN(2)/2)*AB95+(1-EXP(-LN(2)/2))/(LN(2)/2)*V96*Y96*VLOOKUP('Données projet'!$B$9,Paramètres!$A$1:$I$89,3,0)*0.475*44/12</f>
        <v>2.2618456540576022E-10</v>
      </c>
      <c r="AC96" s="24">
        <f t="shared" si="57"/>
        <v>0.30972281895375459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216.16876563248064</v>
      </c>
      <c r="AO96" s="62">
        <f t="shared" si="90"/>
        <v>137.55906339137317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0.40294564250319675</v>
      </c>
      <c r="AW96" s="23">
        <f>EXP(-LN(2)/2)*AW95+(1-EXP(-LN(2)/2))/(LN(2)/2)*AQ96*AT96*VLOOKUP('Données projet'!$B$10,Paramètres!$A$1:$I$89,3,0)*0.475*44/12</f>
        <v>1.4491228896801567E-9</v>
      </c>
      <c r="AX96" s="23">
        <f t="shared" si="60"/>
        <v>0.40294564395231963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1.9895196601282805E-13</v>
      </c>
      <c r="BE96" s="14">
        <f>BD96*VLOOKUP('Données projet'!$B$11,Paramètres!$A$1:$I$89,3,0)*VLOOKUP('Données projet'!$B$11,Paramètres!$A$1:$I$89,5,0)</f>
        <v>1.3035332813160495E-13</v>
      </c>
      <c r="BF96" s="14">
        <f t="shared" si="91"/>
        <v>1.8987770485018903E-12</v>
      </c>
      <c r="BG96" s="22">
        <f t="shared" si="61"/>
        <v>3.5340687393033375E-12</v>
      </c>
      <c r="BH96" s="62">
        <f t="shared" si="62"/>
        <v>293.33333333333684</v>
      </c>
      <c r="BI96" s="62">
        <f ca="1">AVERAGE(OFFSET($BH$3,0,0,'Données projet'!$E$11+1,1))-AVERAGE(OFFSET($H$3,0,0,'Données projet'!$E$11+1,1))</f>
        <v>154.44480170404967</v>
      </c>
      <c r="BJ96" s="62">
        <f t="shared" si="92"/>
        <v>186.45728006007272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1.9895196601282805E-13</v>
      </c>
      <c r="BZ96" s="14">
        <f>BY96*VLOOKUP('Données projet'!$B$12,Paramètres!$A$1:$I$89,3,0)*VLOOKUP('Données projet'!$B$12,Paramètres!$A$1:$I$89,5,0)</f>
        <v>1.3035332813160495E-13</v>
      </c>
      <c r="CA96" s="14">
        <f t="shared" si="93"/>
        <v>1.8987770485018903E-12</v>
      </c>
      <c r="CB96" s="22">
        <f t="shared" si="64"/>
        <v>3.5340687393033375E-12</v>
      </c>
      <c r="CC96" s="62">
        <f t="shared" si="65"/>
        <v>293.33333333333684</v>
      </c>
      <c r="CD96" s="62">
        <f ca="1">AVERAGE(OFFSET($CC$3,0,0,'Données projet'!$E$12+1,1))-AVERAGE(OFFSET($H$3,0,0,'Données projet'!$E$12+1,1))</f>
        <v>154.44480170404967</v>
      </c>
      <c r="CE96" s="62">
        <f t="shared" si="94"/>
        <v>186.45728006007272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9">
        <f t="shared" si="56"/>
        <v>408.76954849412908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3.4106051316484809E-13</v>
      </c>
      <c r="O97" s="14">
        <f>N97*VLOOKUP('Données projet'!$B$9,Paramètres!$A$1:$I$89,3,0)*VLOOKUP('Données projet'!$B$9,Paramètres!$A$1:$I$89,5,0)</f>
        <v>1.9508661353029313E-13</v>
      </c>
      <c r="P97" s="14">
        <f t="shared" si="87"/>
        <v>2.711421636700695E-12</v>
      </c>
      <c r="Q97" s="22">
        <f t="shared" si="54"/>
        <v>5.0621685358189711E-12</v>
      </c>
      <c r="R97" s="62">
        <f t="shared" si="55"/>
        <v>293.33333333333837</v>
      </c>
      <c r="S97" s="62">
        <f ca="1">AVERAGE(OFFSET($R$3,0,0,'Données projet'!$E$9+1,1))-AVERAGE(OFFSET($H$3,0,0,'Données projet'!$E$9+1,1))</f>
        <v>178.42783874015521</v>
      </c>
      <c r="T97" s="62">
        <f t="shared" si="88"/>
        <v>140.03904900962556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0.30125343196184945</v>
      </c>
      <c r="AB97" s="23">
        <f>EXP(-LN(2)/2)*AB96+(1-EXP(-LN(2)/2))/(LN(2)/2)*V97*Y97*VLOOKUP('Données projet'!$B$9,Paramètres!$A$1:$I$89,3,0)*0.475*44/12</f>
        <v>1.5993663999814525E-10</v>
      </c>
      <c r="AC97" s="24">
        <f t="shared" si="57"/>
        <v>0.30125343212178607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216.16876563248064</v>
      </c>
      <c r="AO97" s="62">
        <f t="shared" si="90"/>
        <v>137.55906339137317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0.39192707271895644</v>
      </c>
      <c r="AW97" s="23">
        <f>EXP(-LN(2)/2)*AW96+(1-EXP(-LN(2)/2))/(LN(2)/2)*AQ97*AT97*VLOOKUP('Données projet'!$B$10,Paramètres!$A$1:$I$89,3,0)*0.475*44/12</f>
        <v>1.024684622065484E-9</v>
      </c>
      <c r="AX97" s="23">
        <f t="shared" si="60"/>
        <v>0.39192707374364105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1.9895196601282805E-13</v>
      </c>
      <c r="BE97" s="14">
        <f>BD97*VLOOKUP('Données projet'!$B$11,Paramètres!$A$1:$I$89,3,0)*VLOOKUP('Données projet'!$B$11,Paramètres!$A$1:$I$89,5,0)</f>
        <v>1.3035332813160495E-13</v>
      </c>
      <c r="BF97" s="14">
        <f t="shared" si="91"/>
        <v>1.8987770485018903E-12</v>
      </c>
      <c r="BG97" s="22">
        <f t="shared" si="61"/>
        <v>3.5340687393033375E-12</v>
      </c>
      <c r="BH97" s="62">
        <f t="shared" si="62"/>
        <v>293.33333333333684</v>
      </c>
      <c r="BI97" s="62">
        <f ca="1">AVERAGE(OFFSET($BH$3,0,0,'Données projet'!$E$11+1,1))-AVERAGE(OFFSET($H$3,0,0,'Données projet'!$E$11+1,1))</f>
        <v>154.44480170404967</v>
      </c>
      <c r="BJ97" s="62">
        <f t="shared" si="92"/>
        <v>186.45728006007272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1.9895196601282805E-13</v>
      </c>
      <c r="BZ97" s="14">
        <f>BY97*VLOOKUP('Données projet'!$B$12,Paramètres!$A$1:$I$89,3,0)*VLOOKUP('Données projet'!$B$12,Paramètres!$A$1:$I$89,5,0)</f>
        <v>1.3035332813160495E-13</v>
      </c>
      <c r="CA97" s="14">
        <f t="shared" si="93"/>
        <v>1.8987770485018903E-12</v>
      </c>
      <c r="CB97" s="22">
        <f t="shared" si="64"/>
        <v>3.5340687393033375E-12</v>
      </c>
      <c r="CC97" s="62">
        <f t="shared" si="65"/>
        <v>293.33333333333684</v>
      </c>
      <c r="CD97" s="62">
        <f ca="1">AVERAGE(OFFSET($CC$3,0,0,'Données projet'!$E$12+1,1))-AVERAGE(OFFSET($H$3,0,0,'Données projet'!$E$12+1,1))</f>
        <v>154.44480170404967</v>
      </c>
      <c r="CE97" s="62">
        <f t="shared" si="94"/>
        <v>186.45728006007272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9">
        <f t="shared" si="56"/>
        <v>409.96518850037501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3.4106051316484809E-13</v>
      </c>
      <c r="O98" s="14">
        <f>N98*VLOOKUP('Données projet'!$B$9,Paramètres!$A$1:$I$89,3,0)*VLOOKUP('Données projet'!$B$9,Paramètres!$A$1:$I$89,5,0)</f>
        <v>1.9508661353029313E-13</v>
      </c>
      <c r="P98" s="14">
        <f t="shared" si="87"/>
        <v>2.711421636700695E-12</v>
      </c>
      <c r="Q98" s="22">
        <f t="shared" si="54"/>
        <v>5.0621685358189711E-12</v>
      </c>
      <c r="R98" s="62">
        <f t="shared" si="55"/>
        <v>293.33333333333837</v>
      </c>
      <c r="S98" s="62">
        <f ca="1">AVERAGE(OFFSET($R$3,0,0,'Données projet'!$E$9+1,1))-AVERAGE(OFFSET($H$3,0,0,'Données projet'!$E$9+1,1))</f>
        <v>178.42783874015521</v>
      </c>
      <c r="T98" s="62">
        <f t="shared" si="88"/>
        <v>140.03904900962556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0.29301564102262323</v>
      </c>
      <c r="AB98" s="23">
        <f>EXP(-LN(2)/2)*AB97+(1-EXP(-LN(2)/2))/(LN(2)/2)*V98*Y98*VLOOKUP('Données projet'!$B$9,Paramètres!$A$1:$I$89,3,0)*0.475*44/12</f>
        <v>1.1309228270288012E-10</v>
      </c>
      <c r="AC98" s="24">
        <f t="shared" si="57"/>
        <v>0.29301564113571549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216.16876563248064</v>
      </c>
      <c r="AO98" s="62">
        <f t="shared" si="90"/>
        <v>137.55906339137317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0.38120980630490758</v>
      </c>
      <c r="AW98" s="23">
        <f>EXP(-LN(2)/2)*AW97+(1-EXP(-LN(2)/2))/(LN(2)/2)*AQ98*AT98*VLOOKUP('Données projet'!$B$10,Paramètres!$A$1:$I$89,3,0)*0.475*44/12</f>
        <v>7.2456144484007833E-10</v>
      </c>
      <c r="AX98" s="23">
        <f t="shared" si="60"/>
        <v>0.38120980702946905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1.9895196601282805E-13</v>
      </c>
      <c r="BE98" s="14">
        <f>BD98*VLOOKUP('Données projet'!$B$11,Paramètres!$A$1:$I$89,3,0)*VLOOKUP('Données projet'!$B$11,Paramètres!$A$1:$I$89,5,0)</f>
        <v>1.3035332813160495E-13</v>
      </c>
      <c r="BF98" s="14">
        <f t="shared" si="91"/>
        <v>1.8987770485018903E-12</v>
      </c>
      <c r="BG98" s="22">
        <f t="shared" si="61"/>
        <v>3.5340687393033375E-12</v>
      </c>
      <c r="BH98" s="62">
        <f t="shared" si="62"/>
        <v>293.33333333333684</v>
      </c>
      <c r="BI98" s="62">
        <f ca="1">AVERAGE(OFFSET($BH$3,0,0,'Données projet'!$E$11+1,1))-AVERAGE(OFFSET($H$3,0,0,'Données projet'!$E$11+1,1))</f>
        <v>154.44480170404967</v>
      </c>
      <c r="BJ98" s="62">
        <f t="shared" si="92"/>
        <v>186.45728006007272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1.9895196601282805E-13</v>
      </c>
      <c r="BZ98" s="14">
        <f>BY98*VLOOKUP('Données projet'!$B$12,Paramètres!$A$1:$I$89,3,0)*VLOOKUP('Données projet'!$B$12,Paramètres!$A$1:$I$89,5,0)</f>
        <v>1.3035332813160495E-13</v>
      </c>
      <c r="CA98" s="14">
        <f t="shared" si="93"/>
        <v>1.8987770485018903E-12</v>
      </c>
      <c r="CB98" s="22">
        <f t="shared" si="64"/>
        <v>3.5340687393033375E-12</v>
      </c>
      <c r="CC98" s="62">
        <f t="shared" si="65"/>
        <v>293.33333333333684</v>
      </c>
      <c r="CD98" s="62">
        <f ca="1">AVERAGE(OFFSET($CC$3,0,0,'Données projet'!$E$12+1,1))-AVERAGE(OFFSET($H$3,0,0,'Données projet'!$E$12+1,1))</f>
        <v>154.44480170404967</v>
      </c>
      <c r="CE98" s="62">
        <f t="shared" si="94"/>
        <v>186.45728006007272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9">
        <f t="shared" si="56"/>
        <v>411.1605288747171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3.4106051316484809E-13</v>
      </c>
      <c r="O99" s="14">
        <f>N99*VLOOKUP('Données projet'!$B$9,Paramètres!$A$1:$I$89,3,0)*VLOOKUP('Données projet'!$B$9,Paramètres!$A$1:$I$89,5,0)</f>
        <v>1.9508661353029313E-13</v>
      </c>
      <c r="P99" s="14">
        <f t="shared" si="87"/>
        <v>2.711421636700695E-12</v>
      </c>
      <c r="Q99" s="22">
        <f t="shared" ref="Q99:Q130" si="107">(O99+P99)*0.475*44/12</f>
        <v>5.0621685358189711E-12</v>
      </c>
      <c r="R99" s="62">
        <f t="shared" si="55"/>
        <v>293.33333333333837</v>
      </c>
      <c r="S99" s="62">
        <f ca="1">AVERAGE(OFFSET($R$3,0,0,'Données projet'!$E$9+1,1))-AVERAGE(OFFSET($H$3,0,0,'Données projet'!$E$9+1,1))</f>
        <v>178.42783874015521</v>
      </c>
      <c r="T99" s="62">
        <f t="shared" si="88"/>
        <v>140.03904900962556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0.28500311290983671</v>
      </c>
      <c r="AB99" s="23">
        <f>EXP(-LN(2)/2)*AB98+(1-EXP(-LN(2)/2))/(LN(2)/2)*V99*Y99*VLOOKUP('Données projet'!$B$9,Paramètres!$A$1:$I$89,3,0)*0.475*44/12</f>
        <v>7.9968319999072636E-11</v>
      </c>
      <c r="AC99" s="24">
        <f t="shared" si="57"/>
        <v>0.28500311298980502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216.16876563248064</v>
      </c>
      <c r="AO99" s="62">
        <f t="shared" si="90"/>
        <v>137.55906339137317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0.37078560410454742</v>
      </c>
      <c r="AW99" s="23">
        <f>EXP(-LN(2)/2)*AW98+(1-EXP(-LN(2)/2))/(LN(2)/2)*AQ99*AT99*VLOOKUP('Données projet'!$B$10,Paramètres!$A$1:$I$89,3,0)*0.475*44/12</f>
        <v>5.1234231103274199E-10</v>
      </c>
      <c r="AX99" s="23">
        <f t="shared" si="60"/>
        <v>0.37078560461688975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1.9895196601282805E-13</v>
      </c>
      <c r="BE99" s="14">
        <f>BD99*VLOOKUP('Données projet'!$B$11,Paramètres!$A$1:$I$89,3,0)*VLOOKUP('Données projet'!$B$11,Paramètres!$A$1:$I$89,5,0)</f>
        <v>1.3035332813160495E-13</v>
      </c>
      <c r="BF99" s="14">
        <f t="shared" si="91"/>
        <v>1.8987770485018903E-12</v>
      </c>
      <c r="BG99" s="22">
        <f t="shared" si="61"/>
        <v>3.5340687393033375E-12</v>
      </c>
      <c r="BH99" s="62">
        <f t="shared" si="62"/>
        <v>293.33333333333684</v>
      </c>
      <c r="BI99" s="62">
        <f ca="1">AVERAGE(OFFSET($BH$3,0,0,'Données projet'!$E$11+1,1))-AVERAGE(OFFSET($H$3,0,0,'Données projet'!$E$11+1,1))</f>
        <v>154.44480170404967</v>
      </c>
      <c r="BJ99" s="62">
        <f t="shared" si="92"/>
        <v>186.45728006007272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1.9895196601282805E-13</v>
      </c>
      <c r="BZ99" s="14">
        <f>BY99*VLOOKUP('Données projet'!$B$12,Paramètres!$A$1:$I$89,3,0)*VLOOKUP('Données projet'!$B$12,Paramètres!$A$1:$I$89,5,0)</f>
        <v>1.3035332813160495E-13</v>
      </c>
      <c r="CA99" s="14">
        <f t="shared" si="93"/>
        <v>1.8987770485018903E-12</v>
      </c>
      <c r="CB99" s="22">
        <f t="shared" si="64"/>
        <v>3.5340687393033375E-12</v>
      </c>
      <c r="CC99" s="62">
        <f t="shared" si="65"/>
        <v>293.33333333333684</v>
      </c>
      <c r="CD99" s="62">
        <f ca="1">AVERAGE(OFFSET($CC$3,0,0,'Données projet'!$E$12+1,1))-AVERAGE(OFFSET($H$3,0,0,'Données projet'!$E$12+1,1))</f>
        <v>154.44480170404967</v>
      </c>
      <c r="CE99" s="62">
        <f t="shared" si="94"/>
        <v>186.45728006007272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9">
        <f t="shared" si="56"/>
        <v>412.35557309963951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3.4106051316484809E-13</v>
      </c>
      <c r="O100" s="14">
        <f>N100*VLOOKUP('Données projet'!$B$9,Paramètres!$A$1:$I$89,3,0)*VLOOKUP('Données projet'!$B$9,Paramètres!$A$1:$I$89,5,0)</f>
        <v>1.9508661353029313E-13</v>
      </c>
      <c r="P100" s="14">
        <f t="shared" si="87"/>
        <v>2.711421636700695E-12</v>
      </c>
      <c r="Q100" s="22">
        <f t="shared" si="107"/>
        <v>5.0621685358189711E-12</v>
      </c>
      <c r="R100" s="62">
        <f t="shared" si="55"/>
        <v>293.33333333333837</v>
      </c>
      <c r="S100" s="62">
        <f ca="1">AVERAGE(OFFSET($R$3,0,0,'Données projet'!$E$9+1,1))-AVERAGE(OFFSET($H$3,0,0,'Données projet'!$E$9+1,1))</f>
        <v>178.42783874015521</v>
      </c>
      <c r="T100" s="62">
        <f t="shared" si="88"/>
        <v>140.03904900962556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0.27720968779965488</v>
      </c>
      <c r="AB100" s="23">
        <f>EXP(-LN(2)/2)*AB99+(1-EXP(-LN(2)/2))/(LN(2)/2)*V100*Y100*VLOOKUP('Données projet'!$B$9,Paramètres!$A$1:$I$89,3,0)*0.475*44/12</f>
        <v>5.6546141351440068E-11</v>
      </c>
      <c r="AC100" s="24">
        <f t="shared" si="57"/>
        <v>0.27720968785620104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216.16876563248064</v>
      </c>
      <c r="AO100" s="62">
        <f t="shared" si="90"/>
        <v>137.55906339137317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0.36064645226154107</v>
      </c>
      <c r="AW100" s="23">
        <f>EXP(-LN(2)/2)*AW99+(1-EXP(-LN(2)/2))/(LN(2)/2)*AQ100*AT100*VLOOKUP('Données projet'!$B$10,Paramètres!$A$1:$I$89,3,0)*0.475*44/12</f>
        <v>3.6228072242003917E-10</v>
      </c>
      <c r="AX100" s="23">
        <f t="shared" si="60"/>
        <v>0.36064645262382178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1.9895196601282805E-13</v>
      </c>
      <c r="BE100" s="14">
        <f>BD100*VLOOKUP('Données projet'!$B$11,Paramètres!$A$1:$I$89,3,0)*VLOOKUP('Données projet'!$B$11,Paramètres!$A$1:$I$89,5,0)</f>
        <v>1.3035332813160495E-13</v>
      </c>
      <c r="BF100" s="14">
        <f t="shared" si="91"/>
        <v>1.8987770485018903E-12</v>
      </c>
      <c r="BG100" s="22">
        <f t="shared" si="61"/>
        <v>3.5340687393033375E-12</v>
      </c>
      <c r="BH100" s="62">
        <f t="shared" si="62"/>
        <v>293.33333333333684</v>
      </c>
      <c r="BI100" s="62">
        <f ca="1">AVERAGE(OFFSET($BH$3,0,0,'Données projet'!$E$11+1,1))-AVERAGE(OFFSET($H$3,0,0,'Données projet'!$E$11+1,1))</f>
        <v>154.44480170404967</v>
      </c>
      <c r="BJ100" s="62">
        <f t="shared" si="92"/>
        <v>186.45728006007272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1.9895196601282805E-13</v>
      </c>
      <c r="BZ100" s="14">
        <f>BY100*VLOOKUP('Données projet'!$B$12,Paramètres!$A$1:$I$89,3,0)*VLOOKUP('Données projet'!$B$12,Paramètres!$A$1:$I$89,5,0)</f>
        <v>1.3035332813160495E-13</v>
      </c>
      <c r="CA100" s="14">
        <f t="shared" si="93"/>
        <v>1.8987770485018903E-12</v>
      </c>
      <c r="CB100" s="22">
        <f t="shared" si="64"/>
        <v>3.5340687393033375E-12</v>
      </c>
      <c r="CC100" s="62">
        <f t="shared" si="65"/>
        <v>293.33333333333684</v>
      </c>
      <c r="CD100" s="62">
        <f ca="1">AVERAGE(OFFSET($CC$3,0,0,'Données projet'!$E$12+1,1))-AVERAGE(OFFSET($H$3,0,0,'Données projet'!$E$12+1,1))</f>
        <v>154.44480170404967</v>
      </c>
      <c r="CE100" s="62">
        <f t="shared" si="94"/>
        <v>186.45728006007272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9">
        <f t="shared" si="56"/>
        <v>413.55032458168552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3.4106051316484809E-13</v>
      </c>
      <c r="O101" s="14">
        <f>N101*VLOOKUP('Données projet'!$B$9,Paramètres!$A$1:$I$89,3,0)*VLOOKUP('Données projet'!$B$9,Paramètres!$A$1:$I$89,5,0)</f>
        <v>1.9508661353029313E-13</v>
      </c>
      <c r="P101" s="14">
        <f t="shared" si="87"/>
        <v>2.711421636700695E-12</v>
      </c>
      <c r="Q101" s="22">
        <f t="shared" si="107"/>
        <v>5.0621685358189711E-12</v>
      </c>
      <c r="R101" s="62">
        <f t="shared" si="55"/>
        <v>293.33333333333837</v>
      </c>
      <c r="S101" s="62">
        <f ca="1">AVERAGE(OFFSET($R$3,0,0,'Données projet'!$E$9+1,1))-AVERAGE(OFFSET($H$3,0,0,'Données projet'!$E$9+1,1))</f>
        <v>178.42783874015521</v>
      </c>
      <c r="T101" s="62">
        <f t="shared" si="88"/>
        <v>140.03904900962556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0.2696293743089494</v>
      </c>
      <c r="AB101" s="23">
        <f>EXP(-LN(2)/2)*AB100+(1-EXP(-LN(2)/2))/(LN(2)/2)*V101*Y101*VLOOKUP('Données projet'!$B$9,Paramètres!$A$1:$I$89,3,0)*0.475*44/12</f>
        <v>3.9984159999536324E-11</v>
      </c>
      <c r="AC101" s="24">
        <f t="shared" si="57"/>
        <v>0.26962937434893358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216.16876563248064</v>
      </c>
      <c r="AO101" s="62">
        <f t="shared" si="90"/>
        <v>137.55906339137317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0.3507845560588766</v>
      </c>
      <c r="AW101" s="23">
        <f>EXP(-LN(2)/2)*AW100+(1-EXP(-LN(2)/2))/(LN(2)/2)*AQ101*AT101*VLOOKUP('Données projet'!$B$10,Paramètres!$A$1:$I$89,3,0)*0.475*44/12</f>
        <v>2.5617115551637099E-10</v>
      </c>
      <c r="AX101" s="23">
        <f t="shared" si="60"/>
        <v>0.35078455631504774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1.9895196601282805E-13</v>
      </c>
      <c r="BE101" s="14">
        <f>BD101*VLOOKUP('Données projet'!$B$11,Paramètres!$A$1:$I$89,3,0)*VLOOKUP('Données projet'!$B$11,Paramètres!$A$1:$I$89,5,0)</f>
        <v>1.3035332813160495E-13</v>
      </c>
      <c r="BF101" s="14">
        <f t="shared" si="91"/>
        <v>1.8987770485018903E-12</v>
      </c>
      <c r="BG101" s="22">
        <f t="shared" si="61"/>
        <v>3.5340687393033375E-12</v>
      </c>
      <c r="BH101" s="62">
        <f t="shared" si="62"/>
        <v>293.33333333333684</v>
      </c>
      <c r="BI101" s="62">
        <f ca="1">AVERAGE(OFFSET($BH$3,0,0,'Données projet'!$E$11+1,1))-AVERAGE(OFFSET($H$3,0,0,'Données projet'!$E$11+1,1))</f>
        <v>154.44480170404967</v>
      </c>
      <c r="BJ101" s="62">
        <f t="shared" si="92"/>
        <v>186.45728006007272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1.9895196601282805E-13</v>
      </c>
      <c r="BZ101" s="14">
        <f>BY101*VLOOKUP('Données projet'!$B$12,Paramètres!$A$1:$I$89,3,0)*VLOOKUP('Données projet'!$B$12,Paramètres!$A$1:$I$89,5,0)</f>
        <v>1.3035332813160495E-13</v>
      </c>
      <c r="CA101" s="14">
        <f t="shared" si="93"/>
        <v>1.8987770485018903E-12</v>
      </c>
      <c r="CB101" s="22">
        <f t="shared" si="64"/>
        <v>3.5340687393033375E-12</v>
      </c>
      <c r="CC101" s="62">
        <f t="shared" si="65"/>
        <v>293.33333333333684</v>
      </c>
      <c r="CD101" s="62">
        <f ca="1">AVERAGE(OFFSET($CC$3,0,0,'Données projet'!$E$12+1,1))-AVERAGE(OFFSET($H$3,0,0,'Données projet'!$E$12+1,1))</f>
        <v>154.44480170404967</v>
      </c>
      <c r="CE101" s="62">
        <f t="shared" si="94"/>
        <v>186.45728006007272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9">
        <f t="shared" si="56"/>
        <v>414.74478665387051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3.4106051316484809E-13</v>
      </c>
      <c r="O102" s="14">
        <f>N102*VLOOKUP('Données projet'!$B$9,Paramètres!$A$1:$I$89,3,0)*VLOOKUP('Données projet'!$B$9,Paramètres!$A$1:$I$89,5,0)</f>
        <v>1.9508661353029313E-13</v>
      </c>
      <c r="P102" s="14">
        <f t="shared" si="87"/>
        <v>2.711421636700695E-12</v>
      </c>
      <c r="Q102" s="22">
        <f t="shared" si="107"/>
        <v>5.0621685358189711E-12</v>
      </c>
      <c r="R102" s="62">
        <f t="shared" si="55"/>
        <v>293.33333333333837</v>
      </c>
      <c r="S102" s="62">
        <f ca="1">AVERAGE(OFFSET($R$3,0,0,'Données projet'!$E$9+1,1))-AVERAGE(OFFSET($H$3,0,0,'Données projet'!$E$9+1,1))</f>
        <v>178.42783874015521</v>
      </c>
      <c r="T102" s="62">
        <f t="shared" si="88"/>
        <v>140.03904900962556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0.26225634488927863</v>
      </c>
      <c r="AB102" s="23">
        <f>EXP(-LN(2)/2)*AB101+(1-EXP(-LN(2)/2))/(LN(2)/2)*V102*Y102*VLOOKUP('Données projet'!$B$9,Paramètres!$A$1:$I$89,3,0)*0.475*44/12</f>
        <v>2.8273070675720041E-11</v>
      </c>
      <c r="AC102" s="24">
        <f t="shared" si="57"/>
        <v>0.26225634491755168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216.16876563248064</v>
      </c>
      <c r="AO102" s="62">
        <f t="shared" si="90"/>
        <v>137.55906339137317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0.34119233392648857</v>
      </c>
      <c r="AW102" s="23">
        <f>EXP(-LN(2)/2)*AW101+(1-EXP(-LN(2)/2))/(LN(2)/2)*AQ102*AT102*VLOOKUP('Données projet'!$B$10,Paramètres!$A$1:$I$89,3,0)*0.475*44/12</f>
        <v>1.8114036121001958E-10</v>
      </c>
      <c r="AX102" s="23">
        <f t="shared" si="60"/>
        <v>0.34119233410762895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1.9895196601282805E-13</v>
      </c>
      <c r="BE102" s="14">
        <f>BD102*VLOOKUP('Données projet'!$B$11,Paramètres!$A$1:$I$89,3,0)*VLOOKUP('Données projet'!$B$11,Paramètres!$A$1:$I$89,5,0)</f>
        <v>1.3035332813160495E-13</v>
      </c>
      <c r="BF102" s="14">
        <f t="shared" si="91"/>
        <v>1.8987770485018903E-12</v>
      </c>
      <c r="BG102" s="22">
        <f t="shared" si="61"/>
        <v>3.5340687393033375E-12</v>
      </c>
      <c r="BH102" s="62">
        <f t="shared" si="62"/>
        <v>293.33333333333684</v>
      </c>
      <c r="BI102" s="62">
        <f ca="1">AVERAGE(OFFSET($BH$3,0,0,'Données projet'!$E$11+1,1))-AVERAGE(OFFSET($H$3,0,0,'Données projet'!$E$11+1,1))</f>
        <v>154.44480170404967</v>
      </c>
      <c r="BJ102" s="62">
        <f t="shared" si="92"/>
        <v>186.45728006007272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1.9895196601282805E-13</v>
      </c>
      <c r="BZ102" s="14">
        <f>BY102*VLOOKUP('Données projet'!$B$12,Paramètres!$A$1:$I$89,3,0)*VLOOKUP('Données projet'!$B$12,Paramètres!$A$1:$I$89,5,0)</f>
        <v>1.3035332813160495E-13</v>
      </c>
      <c r="CA102" s="14">
        <f t="shared" si="93"/>
        <v>1.8987770485018903E-12</v>
      </c>
      <c r="CB102" s="22">
        <f t="shared" si="64"/>
        <v>3.5340687393033375E-12</v>
      </c>
      <c r="CC102" s="62">
        <f t="shared" si="65"/>
        <v>293.33333333333684</v>
      </c>
      <c r="CD102" s="62">
        <f ca="1">AVERAGE(OFFSET($CC$3,0,0,'Données projet'!$E$12+1,1))-AVERAGE(OFFSET($H$3,0,0,'Données projet'!$E$12+1,1))</f>
        <v>154.44480170404967</v>
      </c>
      <c r="CE102" s="62">
        <f t="shared" si="94"/>
        <v>186.45728006007272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9">
        <f t="shared" si="56"/>
        <v>415.93896257799588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3.4106051316484809E-13</v>
      </c>
      <c r="O103" s="14">
        <f>N103*VLOOKUP('Données projet'!$B$9,Paramètres!$A$1:$I$89,3,0)*VLOOKUP('Données projet'!$B$9,Paramètres!$A$1:$I$89,5,0)</f>
        <v>1.9508661353029313E-13</v>
      </c>
      <c r="P103" s="14">
        <f t="shared" si="87"/>
        <v>2.711421636700695E-12</v>
      </c>
      <c r="Q103" s="22">
        <f t="shared" si="107"/>
        <v>5.0621685358189711E-12</v>
      </c>
      <c r="R103" s="62">
        <f t="shared" si="55"/>
        <v>293.33333333333837</v>
      </c>
      <c r="S103" s="62">
        <f ca="1">AVERAGE(OFFSET($R$3,0,0,'Données projet'!$E$9+1,1))-AVERAGE(OFFSET($H$3,0,0,'Données projet'!$E$9+1,1))</f>
        <v>178.42783874015521</v>
      </c>
      <c r="T103" s="62">
        <f t="shared" si="88"/>
        <v>140.03904900962556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0.25508493134681953</v>
      </c>
      <c r="AB103" s="23">
        <f>EXP(-LN(2)/2)*AB102+(1-EXP(-LN(2)/2))/(LN(2)/2)*V103*Y103*VLOOKUP('Données projet'!$B$9,Paramètres!$A$1:$I$89,3,0)*0.475*44/12</f>
        <v>1.9992079999768165E-11</v>
      </c>
      <c r="AC103" s="24">
        <f t="shared" si="57"/>
        <v>0.2550849313668116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216.16876563248064</v>
      </c>
      <c r="AO103" s="62">
        <f t="shared" si="90"/>
        <v>137.55906339137317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0.33186241161274371</v>
      </c>
      <c r="AW103" s="23">
        <f>EXP(-LN(2)/2)*AW102+(1-EXP(-LN(2)/2))/(LN(2)/2)*AQ103*AT103*VLOOKUP('Données projet'!$B$10,Paramètres!$A$1:$I$89,3,0)*0.475*44/12</f>
        <v>1.280855777581855E-10</v>
      </c>
      <c r="AX103" s="23">
        <f t="shared" si="60"/>
        <v>0.33186241174082931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1.9895196601282805E-13</v>
      </c>
      <c r="BE103" s="14">
        <f>BD103*VLOOKUP('Données projet'!$B$11,Paramètres!$A$1:$I$89,3,0)*VLOOKUP('Données projet'!$B$11,Paramètres!$A$1:$I$89,5,0)</f>
        <v>1.3035332813160495E-13</v>
      </c>
      <c r="BF103" s="14">
        <f t="shared" si="91"/>
        <v>1.8987770485018903E-12</v>
      </c>
      <c r="BG103" s="22">
        <f t="shared" si="61"/>
        <v>3.5340687393033375E-12</v>
      </c>
      <c r="BH103" s="62">
        <f t="shared" si="62"/>
        <v>293.33333333333684</v>
      </c>
      <c r="BI103" s="62">
        <f ca="1">AVERAGE(OFFSET($BH$3,0,0,'Données projet'!$E$11+1,1))-AVERAGE(OFFSET($H$3,0,0,'Données projet'!$E$11+1,1))</f>
        <v>154.44480170404967</v>
      </c>
      <c r="BJ103" s="62">
        <f t="shared" si="92"/>
        <v>186.45728006007272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1.9895196601282805E-13</v>
      </c>
      <c r="BZ103" s="14">
        <f>BY103*VLOOKUP('Données projet'!$B$12,Paramètres!$A$1:$I$89,3,0)*VLOOKUP('Données projet'!$B$12,Paramètres!$A$1:$I$89,5,0)</f>
        <v>1.3035332813160495E-13</v>
      </c>
      <c r="CA103" s="14">
        <f t="shared" si="93"/>
        <v>1.8987770485018903E-12</v>
      </c>
      <c r="CB103" s="22">
        <f t="shared" si="64"/>
        <v>3.5340687393033375E-12</v>
      </c>
      <c r="CC103" s="62">
        <f t="shared" si="65"/>
        <v>293.33333333333684</v>
      </c>
      <c r="CD103" s="62">
        <f ca="1">AVERAGE(OFFSET($CC$3,0,0,'Données projet'!$E$12+1,1))-AVERAGE(OFFSET($H$3,0,0,'Données projet'!$E$12+1,1))</f>
        <v>154.44480170404967</v>
      </c>
      <c r="CE103" s="62">
        <f t="shared" si="94"/>
        <v>186.45728006007272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9">
        <f t="shared" si="56"/>
        <v>417.13285554686695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3.4106051316484809E-13</v>
      </c>
      <c r="O104" s="14">
        <f>N104*VLOOKUP('Données projet'!$B$9,Paramètres!$A$1:$I$89,3,0)*VLOOKUP('Données projet'!$B$9,Paramètres!$A$1:$I$89,5,0)</f>
        <v>1.9508661353029313E-13</v>
      </c>
      <c r="P104" s="14">
        <f t="shared" si="87"/>
        <v>2.711421636700695E-12</v>
      </c>
      <c r="Q104" s="22">
        <f t="shared" si="107"/>
        <v>5.0621685358189711E-12</v>
      </c>
      <c r="R104" s="62">
        <f t="shared" si="55"/>
        <v>293.33333333333837</v>
      </c>
      <c r="S104" s="62">
        <f ca="1">AVERAGE(OFFSET($R$3,0,0,'Données projet'!$E$9+1,1))-AVERAGE(OFFSET($H$3,0,0,'Données projet'!$E$9+1,1))</f>
        <v>178.42783874015521</v>
      </c>
      <c r="T104" s="62">
        <f t="shared" si="88"/>
        <v>140.03904900962556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0.24810962048480723</v>
      </c>
      <c r="AB104" s="23">
        <f>EXP(-LN(2)/2)*AB103+(1-EXP(-LN(2)/2))/(LN(2)/2)*V104*Y104*VLOOKUP('Données projet'!$B$9,Paramètres!$A$1:$I$89,3,0)*0.475*44/12</f>
        <v>1.4136535337860022E-11</v>
      </c>
      <c r="AC104" s="24">
        <f t="shared" si="57"/>
        <v>0.24810962049894375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216.16876563248064</v>
      </c>
      <c r="AO104" s="62">
        <f t="shared" si="90"/>
        <v>137.55906339137317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0.32278761651530752</v>
      </c>
      <c r="AW104" s="23">
        <f>EXP(-LN(2)/2)*AW103+(1-EXP(-LN(2)/2))/(LN(2)/2)*AQ104*AT104*VLOOKUP('Données projet'!$B$10,Paramètres!$A$1:$I$89,3,0)*0.475*44/12</f>
        <v>9.0570180605009792E-11</v>
      </c>
      <c r="AX104" s="23">
        <f t="shared" si="60"/>
        <v>0.32278761660587768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1.9895196601282805E-13</v>
      </c>
      <c r="BE104" s="14">
        <f>BD104*VLOOKUP('Données projet'!$B$11,Paramètres!$A$1:$I$89,3,0)*VLOOKUP('Données projet'!$B$11,Paramètres!$A$1:$I$89,5,0)</f>
        <v>1.3035332813160495E-13</v>
      </c>
      <c r="BF104" s="14">
        <f t="shared" si="91"/>
        <v>1.8987770485018903E-12</v>
      </c>
      <c r="BG104" s="22">
        <f t="shared" si="61"/>
        <v>3.5340687393033375E-12</v>
      </c>
      <c r="BH104" s="62">
        <f t="shared" si="62"/>
        <v>293.33333333333684</v>
      </c>
      <c r="BI104" s="62">
        <f ca="1">AVERAGE(OFFSET($BH$3,0,0,'Données projet'!$E$11+1,1))-AVERAGE(OFFSET($H$3,0,0,'Données projet'!$E$11+1,1))</f>
        <v>154.44480170404967</v>
      </c>
      <c r="BJ104" s="62">
        <f t="shared" si="92"/>
        <v>186.45728006007272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1.9895196601282805E-13</v>
      </c>
      <c r="BZ104" s="14">
        <f>BY104*VLOOKUP('Données projet'!$B$12,Paramètres!$A$1:$I$89,3,0)*VLOOKUP('Données projet'!$B$12,Paramètres!$A$1:$I$89,5,0)</f>
        <v>1.3035332813160495E-13</v>
      </c>
      <c r="CA104" s="14">
        <f t="shared" si="93"/>
        <v>1.8987770485018903E-12</v>
      </c>
      <c r="CB104" s="22">
        <f t="shared" si="64"/>
        <v>3.5340687393033375E-12</v>
      </c>
      <c r="CC104" s="62">
        <f t="shared" si="65"/>
        <v>293.33333333333684</v>
      </c>
      <c r="CD104" s="62">
        <f ca="1">AVERAGE(OFFSET($CC$3,0,0,'Données projet'!$E$12+1,1))-AVERAGE(OFFSET($H$3,0,0,'Données projet'!$E$12+1,1))</f>
        <v>154.44480170404967</v>
      </c>
      <c r="CE104" s="62">
        <f t="shared" si="94"/>
        <v>186.45728006007272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9">
        <f t="shared" si="56"/>
        <v>418.32646868642092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3.4106051316484809E-13</v>
      </c>
      <c r="O105" s="14">
        <f>N105*VLOOKUP('Données projet'!$B$9,Paramètres!$A$1:$I$89,3,0)*VLOOKUP('Données projet'!$B$9,Paramètres!$A$1:$I$89,5,0)</f>
        <v>1.9508661353029313E-13</v>
      </c>
      <c r="P105" s="14">
        <f t="shared" si="87"/>
        <v>2.711421636700695E-12</v>
      </c>
      <c r="Q105" s="22">
        <f t="shared" si="107"/>
        <v>5.0621685358189711E-12</v>
      </c>
      <c r="R105" s="62">
        <f t="shared" si="55"/>
        <v>293.33333333333837</v>
      </c>
      <c r="S105" s="62">
        <f ca="1">AVERAGE(OFFSET($R$3,0,0,'Données projet'!$E$9+1,1))-AVERAGE(OFFSET($H$3,0,0,'Données projet'!$E$9+1,1))</f>
        <v>178.42783874015521</v>
      </c>
      <c r="T105" s="62">
        <f t="shared" si="88"/>
        <v>140.03904900962556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0.24132504986513229</v>
      </c>
      <c r="AB105" s="23">
        <f>EXP(-LN(2)/2)*AB104+(1-EXP(-LN(2)/2))/(LN(2)/2)*V105*Y105*VLOOKUP('Données projet'!$B$9,Paramètres!$A$1:$I$89,3,0)*0.475*44/12</f>
        <v>9.9960399998840843E-12</v>
      </c>
      <c r="AC105" s="24">
        <f t="shared" si="57"/>
        <v>0.24132504987512832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216.16876563248064</v>
      </c>
      <c r="AO105" s="62">
        <f t="shared" si="90"/>
        <v>137.55906339137317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0.31396097216703345</v>
      </c>
      <c r="AW105" s="23">
        <f>EXP(-LN(2)/2)*AW104+(1-EXP(-LN(2)/2))/(LN(2)/2)*AQ105*AT105*VLOOKUP('Données projet'!$B$10,Paramètres!$A$1:$I$89,3,0)*0.475*44/12</f>
        <v>6.4042788879092748E-11</v>
      </c>
      <c r="AX105" s="23">
        <f t="shared" si="60"/>
        <v>0.31396097223107622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1.9895196601282805E-13</v>
      </c>
      <c r="BE105" s="14">
        <f>BD105*VLOOKUP('Données projet'!$B$11,Paramètres!$A$1:$I$89,3,0)*VLOOKUP('Données projet'!$B$11,Paramètres!$A$1:$I$89,5,0)</f>
        <v>1.3035332813160495E-13</v>
      </c>
      <c r="BF105" s="14">
        <f t="shared" si="91"/>
        <v>1.8987770485018903E-12</v>
      </c>
      <c r="BG105" s="22">
        <f t="shared" si="61"/>
        <v>3.5340687393033375E-12</v>
      </c>
      <c r="BH105" s="62">
        <f t="shared" si="62"/>
        <v>293.33333333333684</v>
      </c>
      <c r="BI105" s="62">
        <f ca="1">AVERAGE(OFFSET($BH$3,0,0,'Données projet'!$E$11+1,1))-AVERAGE(OFFSET($H$3,0,0,'Données projet'!$E$11+1,1))</f>
        <v>154.44480170404967</v>
      </c>
      <c r="BJ105" s="62">
        <f t="shared" si="92"/>
        <v>186.45728006007272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1.9895196601282805E-13</v>
      </c>
      <c r="BZ105" s="14">
        <f>BY105*VLOOKUP('Données projet'!$B$12,Paramètres!$A$1:$I$89,3,0)*VLOOKUP('Données projet'!$B$12,Paramètres!$A$1:$I$89,5,0)</f>
        <v>1.3035332813160495E-13</v>
      </c>
      <c r="CA105" s="14">
        <f t="shared" si="93"/>
        <v>1.8987770485018903E-12</v>
      </c>
      <c r="CB105" s="22">
        <f t="shared" si="64"/>
        <v>3.5340687393033375E-12</v>
      </c>
      <c r="CC105" s="62">
        <f t="shared" si="65"/>
        <v>293.33333333333684</v>
      </c>
      <c r="CD105" s="62">
        <f ca="1">AVERAGE(OFFSET($CC$3,0,0,'Données projet'!$E$12+1,1))-AVERAGE(OFFSET($H$3,0,0,'Données projet'!$E$12+1,1))</f>
        <v>154.44480170404967</v>
      </c>
      <c r="CE105" s="62">
        <f t="shared" si="94"/>
        <v>186.45728006007272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9">
        <f t="shared" si="56"/>
        <v>419.51980505776862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3.4106051316484809E-13</v>
      </c>
      <c r="O106" s="14">
        <f>N106*VLOOKUP('Données projet'!$B$9,Paramètres!$A$1:$I$89,3,0)*VLOOKUP('Données projet'!$B$9,Paramètres!$A$1:$I$89,5,0)</f>
        <v>1.9508661353029313E-13</v>
      </c>
      <c r="P106" s="14">
        <f t="shared" si="87"/>
        <v>2.711421636700695E-12</v>
      </c>
      <c r="Q106" s="22">
        <f t="shared" si="107"/>
        <v>5.0621685358189711E-12</v>
      </c>
      <c r="R106" s="62">
        <f t="shared" si="55"/>
        <v>293.33333333333837</v>
      </c>
      <c r="S106" s="62">
        <f ca="1">AVERAGE(OFFSET($R$3,0,0,'Données projet'!$E$9+1,1))-AVERAGE(OFFSET($H$3,0,0,'Données projet'!$E$9+1,1))</f>
        <v>178.42783874015521</v>
      </c>
      <c r="T106" s="62">
        <f t="shared" si="88"/>
        <v>140.03904900962556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0.23472600368583743</v>
      </c>
      <c r="AB106" s="23">
        <f>EXP(-LN(2)/2)*AB105+(1-EXP(-LN(2)/2))/(LN(2)/2)*V106*Y106*VLOOKUP('Données projet'!$B$9,Paramètres!$A$1:$I$89,3,0)*0.475*44/12</f>
        <v>7.0682676689300126E-12</v>
      </c>
      <c r="AC106" s="24">
        <f t="shared" si="57"/>
        <v>0.23472600369290569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216.16876563248064</v>
      </c>
      <c r="AO106" s="62">
        <f t="shared" si="90"/>
        <v>137.55906339137317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0.30537569287263594</v>
      </c>
      <c r="AW106" s="23">
        <f>EXP(-LN(2)/2)*AW105+(1-EXP(-LN(2)/2))/(LN(2)/2)*AQ106*AT106*VLOOKUP('Données projet'!$B$10,Paramètres!$A$1:$I$89,3,0)*0.475*44/12</f>
        <v>4.5285090302504896E-11</v>
      </c>
      <c r="AX106" s="23">
        <f t="shared" si="60"/>
        <v>0.30537569291792105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1.9895196601282805E-13</v>
      </c>
      <c r="BE106" s="14">
        <f>BD106*VLOOKUP('Données projet'!$B$11,Paramètres!$A$1:$I$89,3,0)*VLOOKUP('Données projet'!$B$11,Paramètres!$A$1:$I$89,5,0)</f>
        <v>1.3035332813160495E-13</v>
      </c>
      <c r="BF106" s="14">
        <f t="shared" si="91"/>
        <v>1.8987770485018903E-12</v>
      </c>
      <c r="BG106" s="22">
        <f t="shared" si="61"/>
        <v>3.5340687393033375E-12</v>
      </c>
      <c r="BH106" s="62">
        <f t="shared" si="62"/>
        <v>293.33333333333684</v>
      </c>
      <c r="BI106" s="62">
        <f ca="1">AVERAGE(OFFSET($BH$3,0,0,'Données projet'!$E$11+1,1))-AVERAGE(OFFSET($H$3,0,0,'Données projet'!$E$11+1,1))</f>
        <v>154.44480170404967</v>
      </c>
      <c r="BJ106" s="62">
        <f t="shared" si="92"/>
        <v>186.45728006007272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1.9895196601282805E-13</v>
      </c>
      <c r="BZ106" s="14">
        <f>BY106*VLOOKUP('Données projet'!$B$12,Paramètres!$A$1:$I$89,3,0)*VLOOKUP('Données projet'!$B$12,Paramètres!$A$1:$I$89,5,0)</f>
        <v>1.3035332813160495E-13</v>
      </c>
      <c r="CA106" s="14">
        <f t="shared" si="93"/>
        <v>1.8987770485018903E-12</v>
      </c>
      <c r="CB106" s="22">
        <f t="shared" si="64"/>
        <v>3.5340687393033375E-12</v>
      </c>
      <c r="CC106" s="62">
        <f t="shared" si="65"/>
        <v>293.33333333333684</v>
      </c>
      <c r="CD106" s="62">
        <f ca="1">AVERAGE(OFFSET($CC$3,0,0,'Données projet'!$E$12+1,1))-AVERAGE(OFFSET($H$3,0,0,'Données projet'!$E$12+1,1))</f>
        <v>154.44480170404967</v>
      </c>
      <c r="CE106" s="62">
        <f t="shared" si="94"/>
        <v>186.45728006007272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9">
        <f t="shared" si="56"/>
        <v>420.71286765915517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3.4106051316484809E-13</v>
      </c>
      <c r="O107" s="14">
        <f>N107*VLOOKUP('Données projet'!$B$9,Paramètres!$A$1:$I$89,3,0)*VLOOKUP('Données projet'!$B$9,Paramètres!$A$1:$I$89,5,0)</f>
        <v>1.9508661353029313E-13</v>
      </c>
      <c r="P107" s="14">
        <f t="shared" si="87"/>
        <v>2.711421636700695E-12</v>
      </c>
      <c r="Q107" s="22">
        <f t="shared" si="107"/>
        <v>5.0621685358189711E-12</v>
      </c>
      <c r="R107" s="62">
        <f t="shared" si="55"/>
        <v>293.33333333333837</v>
      </c>
      <c r="S107" s="62">
        <f ca="1">AVERAGE(OFFSET($R$3,0,0,'Données projet'!$E$9+1,1))-AVERAGE(OFFSET($H$3,0,0,'Données projet'!$E$9+1,1))</f>
        <v>178.42783874015521</v>
      </c>
      <c r="T107" s="62">
        <f t="shared" si="88"/>
        <v>140.03904900962556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0.22830740877134414</v>
      </c>
      <c r="AB107" s="23">
        <f>EXP(-LN(2)/2)*AB106+(1-EXP(-LN(2)/2))/(LN(2)/2)*V107*Y107*VLOOKUP('Données projet'!$B$9,Paramètres!$A$1:$I$89,3,0)*0.475*44/12</f>
        <v>4.998019999942043E-12</v>
      </c>
      <c r="AC107" s="24">
        <f t="shared" si="57"/>
        <v>0.22830740877634217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216.16876563248064</v>
      </c>
      <c r="AO107" s="62">
        <f t="shared" si="90"/>
        <v>137.55906339137317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0.29702517849202398</v>
      </c>
      <c r="AW107" s="23">
        <f>EXP(-LN(2)/2)*AW106+(1-EXP(-LN(2)/2))/(LN(2)/2)*AQ107*AT107*VLOOKUP('Données projet'!$B$10,Paramètres!$A$1:$I$89,3,0)*0.475*44/12</f>
        <v>3.2021394439546374E-11</v>
      </c>
      <c r="AX107" s="23">
        <f t="shared" si="60"/>
        <v>0.29702517852404536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1.9895196601282805E-13</v>
      </c>
      <c r="BE107" s="14">
        <f>BD107*VLOOKUP('Données projet'!$B$11,Paramètres!$A$1:$I$89,3,0)*VLOOKUP('Données projet'!$B$11,Paramètres!$A$1:$I$89,5,0)</f>
        <v>1.3035332813160495E-13</v>
      </c>
      <c r="BF107" s="14">
        <f t="shared" si="91"/>
        <v>1.8987770485018903E-12</v>
      </c>
      <c r="BG107" s="22">
        <f t="shared" si="61"/>
        <v>3.5340687393033375E-12</v>
      </c>
      <c r="BH107" s="62">
        <f t="shared" si="62"/>
        <v>293.33333333333684</v>
      </c>
      <c r="BI107" s="62">
        <f ca="1">AVERAGE(OFFSET($BH$3,0,0,'Données projet'!$E$11+1,1))-AVERAGE(OFFSET($H$3,0,0,'Données projet'!$E$11+1,1))</f>
        <v>154.44480170404967</v>
      </c>
      <c r="BJ107" s="62">
        <f t="shared" si="92"/>
        <v>186.45728006007272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1.9895196601282805E-13</v>
      </c>
      <c r="BZ107" s="14">
        <f>BY107*VLOOKUP('Données projet'!$B$12,Paramètres!$A$1:$I$89,3,0)*VLOOKUP('Données projet'!$B$12,Paramètres!$A$1:$I$89,5,0)</f>
        <v>1.3035332813160495E-13</v>
      </c>
      <c r="CA107" s="14">
        <f t="shared" si="93"/>
        <v>1.8987770485018903E-12</v>
      </c>
      <c r="CB107" s="22">
        <f t="shared" si="64"/>
        <v>3.5340687393033375E-12</v>
      </c>
      <c r="CC107" s="62">
        <f t="shared" si="65"/>
        <v>293.33333333333684</v>
      </c>
      <c r="CD107" s="62">
        <f ca="1">AVERAGE(OFFSET($CC$3,0,0,'Données projet'!$E$12+1,1))-AVERAGE(OFFSET($H$3,0,0,'Données projet'!$E$12+1,1))</f>
        <v>154.44480170404967</v>
      </c>
      <c r="CE107" s="62">
        <f t="shared" si="94"/>
        <v>186.45728006007272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9">
        <f t="shared" si="56"/>
        <v>421.90565942784269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3.4106051316484809E-13</v>
      </c>
      <c r="O108" s="14">
        <f>N108*VLOOKUP('Données projet'!$B$9,Paramètres!$A$1:$I$89,3,0)*VLOOKUP('Données projet'!$B$9,Paramètres!$A$1:$I$89,5,0)</f>
        <v>1.9508661353029313E-13</v>
      </c>
      <c r="P108" s="14">
        <f t="shared" si="87"/>
        <v>2.711421636700695E-12</v>
      </c>
      <c r="Q108" s="22">
        <f t="shared" si="107"/>
        <v>5.0621685358189711E-12</v>
      </c>
      <c r="R108" s="62">
        <f t="shared" si="55"/>
        <v>293.33333333333837</v>
      </c>
      <c r="S108" s="62">
        <f ca="1">AVERAGE(OFFSET($R$3,0,0,'Données projet'!$E$9+1,1))-AVERAGE(OFFSET($H$3,0,0,'Données projet'!$E$9+1,1))</f>
        <v>178.42783874015521</v>
      </c>
      <c r="T108" s="62">
        <f t="shared" si="88"/>
        <v>140.03904900962556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0.22206433067232692</v>
      </c>
      <c r="AB108" s="23">
        <f>EXP(-LN(2)/2)*AB107+(1-EXP(-LN(2)/2))/(LN(2)/2)*V108*Y108*VLOOKUP('Données projet'!$B$9,Paramètres!$A$1:$I$89,3,0)*0.475*44/12</f>
        <v>3.5341338344650067E-12</v>
      </c>
      <c r="AC108" s="24">
        <f t="shared" si="57"/>
        <v>0.22206433067586107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216.16876563248064</v>
      </c>
      <c r="AO108" s="62">
        <f t="shared" si="90"/>
        <v>137.55906339137317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0.28890300936628432</v>
      </c>
      <c r="AW108" s="23">
        <f>EXP(-LN(2)/2)*AW107+(1-EXP(-LN(2)/2))/(LN(2)/2)*AQ108*AT108*VLOOKUP('Données projet'!$B$10,Paramètres!$A$1:$I$89,3,0)*0.475*44/12</f>
        <v>2.2642545151252448E-11</v>
      </c>
      <c r="AX108" s="23">
        <f t="shared" si="60"/>
        <v>0.28890300938892688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1.9895196601282805E-13</v>
      </c>
      <c r="BE108" s="14">
        <f>BD108*VLOOKUP('Données projet'!$B$11,Paramètres!$A$1:$I$89,3,0)*VLOOKUP('Données projet'!$B$11,Paramètres!$A$1:$I$89,5,0)</f>
        <v>1.3035332813160495E-13</v>
      </c>
      <c r="BF108" s="14">
        <f t="shared" si="91"/>
        <v>1.8987770485018903E-12</v>
      </c>
      <c r="BG108" s="22">
        <f t="shared" si="61"/>
        <v>3.5340687393033375E-12</v>
      </c>
      <c r="BH108" s="62">
        <f t="shared" si="62"/>
        <v>293.33333333333684</v>
      </c>
      <c r="BI108" s="62">
        <f ca="1">AVERAGE(OFFSET($BH$3,0,0,'Données projet'!$E$11+1,1))-AVERAGE(OFFSET($H$3,0,0,'Données projet'!$E$11+1,1))</f>
        <v>154.44480170404967</v>
      </c>
      <c r="BJ108" s="62">
        <f t="shared" si="92"/>
        <v>186.45728006007272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1.9895196601282805E-13</v>
      </c>
      <c r="BZ108" s="14">
        <f>BY108*VLOOKUP('Données projet'!$B$12,Paramètres!$A$1:$I$89,3,0)*VLOOKUP('Données projet'!$B$12,Paramètres!$A$1:$I$89,5,0)</f>
        <v>1.3035332813160495E-13</v>
      </c>
      <c r="CA108" s="14">
        <f t="shared" si="93"/>
        <v>1.8987770485018903E-12</v>
      </c>
      <c r="CB108" s="22">
        <f t="shared" si="64"/>
        <v>3.5340687393033375E-12</v>
      </c>
      <c r="CC108" s="62">
        <f t="shared" si="65"/>
        <v>293.33333333333684</v>
      </c>
      <c r="CD108" s="62">
        <f ca="1">AVERAGE(OFFSET($CC$3,0,0,'Données projet'!$E$12+1,1))-AVERAGE(OFFSET($H$3,0,0,'Données projet'!$E$12+1,1))</f>
        <v>154.44480170404967</v>
      </c>
      <c r="CE108" s="62">
        <f t="shared" si="94"/>
        <v>186.45728006007272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9">
        <f t="shared" si="56"/>
        <v>423.09818324191957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1.9508661353029313E-13</v>
      </c>
      <c r="P109" s="14">
        <f t="shared" si="87"/>
        <v>2.711421636700695E-12</v>
      </c>
      <c r="Q109" s="22">
        <f t="shared" si="107"/>
        <v>5.0621685358189711E-12</v>
      </c>
      <c r="R109" s="62">
        <f t="shared" si="55"/>
        <v>293.33333333333837</v>
      </c>
      <c r="S109" s="62">
        <f ca="1">AVERAGE(OFFSET($R$3,0,0,'Données projet'!$E$9+1,1))-AVERAGE(OFFSET($H$3,0,0,'Données projet'!$E$9+1,1))</f>
        <v>178.42783874015521</v>
      </c>
      <c r="T109" s="62">
        <f t="shared" si="88"/>
        <v>140.03904900962556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0.21599196987223654</v>
      </c>
      <c r="AB109" s="23">
        <f>EXP(-LN(2)/2)*AB108+(1-EXP(-LN(2)/2))/(LN(2)/2)*V109*Y109*VLOOKUP('Données projet'!$B$9,Paramètres!$A$1:$I$89,3,0)*0.475*44/12</f>
        <v>2.4990099999710219E-12</v>
      </c>
      <c r="AC109" s="24">
        <f t="shared" si="57"/>
        <v>0.21599196987473554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216.16876563248064</v>
      </c>
      <c r="AO109" s="62">
        <f t="shared" si="90"/>
        <v>137.55906339137317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0.28100294138241433</v>
      </c>
      <c r="AW109" s="23">
        <f>EXP(-LN(2)/2)*AW108+(1-EXP(-LN(2)/2))/(LN(2)/2)*AQ109*AT109*VLOOKUP('Données projet'!$B$10,Paramètres!$A$1:$I$89,3,0)*0.475*44/12</f>
        <v>1.6010697219773187E-11</v>
      </c>
      <c r="AX109" s="23">
        <f t="shared" si="60"/>
        <v>0.28100294139842502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1.9895196601282805E-13</v>
      </c>
      <c r="BE109" s="14">
        <f>BD109*VLOOKUP('Données projet'!$B$11,Paramètres!$A$1:$I$89,3,0)*VLOOKUP('Données projet'!$B$11,Paramètres!$A$1:$I$89,5,0)</f>
        <v>1.3035332813160495E-13</v>
      </c>
      <c r="BF109" s="14">
        <f t="shared" si="91"/>
        <v>1.8987770485018903E-12</v>
      </c>
      <c r="BG109" s="22">
        <f t="shared" si="61"/>
        <v>3.5340687393033375E-12</v>
      </c>
      <c r="BH109" s="62">
        <f t="shared" si="62"/>
        <v>293.33333333333684</v>
      </c>
      <c r="BI109" s="62">
        <f ca="1">AVERAGE(OFFSET($BH$3,0,0,'Données projet'!$E$11+1,1))-AVERAGE(OFFSET($H$3,0,0,'Données projet'!$E$11+1,1))</f>
        <v>154.44480170404967</v>
      </c>
      <c r="BJ109" s="62">
        <f t="shared" si="92"/>
        <v>186.45728006007272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1.9895196601282805E-13</v>
      </c>
      <c r="BZ109" s="14">
        <f>BY109*VLOOKUP('Données projet'!$B$12,Paramètres!$A$1:$I$89,3,0)*VLOOKUP('Données projet'!$B$12,Paramètres!$A$1:$I$89,5,0)</f>
        <v>1.3035332813160495E-13</v>
      </c>
      <c r="CA109" s="14">
        <f t="shared" si="93"/>
        <v>1.8987770485018903E-12</v>
      </c>
      <c r="CB109" s="22">
        <f t="shared" si="64"/>
        <v>3.5340687393033375E-12</v>
      </c>
      <c r="CC109" s="62">
        <f t="shared" si="65"/>
        <v>293.33333333333684</v>
      </c>
      <c r="CD109" s="62">
        <f ca="1">AVERAGE(OFFSET($CC$3,0,0,'Données projet'!$E$12+1,1))-AVERAGE(OFFSET($H$3,0,0,'Données projet'!$E$12+1,1))</f>
        <v>154.44480170404967</v>
      </c>
      <c r="CE109" s="62">
        <f t="shared" si="94"/>
        <v>186.45728006007272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9">
        <f t="shared" si="56"/>
        <v>424.29044192203901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1.9508661353029313E-13</v>
      </c>
      <c r="P110" s="14">
        <f t="shared" si="87"/>
        <v>2.711421636700695E-12</v>
      </c>
      <c r="Q110" s="22">
        <f t="shared" si="107"/>
        <v>5.0621685358189711E-12</v>
      </c>
      <c r="R110" s="62">
        <f t="shared" si="55"/>
        <v>293.33333333333837</v>
      </c>
      <c r="S110" s="62">
        <f ca="1">AVERAGE(OFFSET($R$3,0,0,'Données projet'!$E$9+1,1))-AVERAGE(OFFSET($H$3,0,0,'Données projet'!$E$9+1,1))</f>
        <v>178.42783874015521</v>
      </c>
      <c r="T110" s="62">
        <f t="shared" si="88"/>
        <v>140.03904900962556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0.21008565809755619</v>
      </c>
      <c r="AB110" s="23">
        <f>EXP(-LN(2)/2)*AB109+(1-EXP(-LN(2)/2))/(LN(2)/2)*V110*Y110*VLOOKUP('Données projet'!$B$9,Paramètres!$A$1:$I$89,3,0)*0.475*44/12</f>
        <v>1.7670669172325035E-12</v>
      </c>
      <c r="AC110" s="24">
        <f t="shared" si="57"/>
        <v>0.21008565809932325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216.16876563248064</v>
      </c>
      <c r="AO110" s="62">
        <f t="shared" si="90"/>
        <v>137.55906339137317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0.27331890117300978</v>
      </c>
      <c r="AW110" s="23">
        <f>EXP(-LN(2)/2)*AW109+(1-EXP(-LN(2)/2))/(LN(2)/2)*AQ110*AT110*VLOOKUP('Données projet'!$B$10,Paramètres!$A$1:$I$89,3,0)*0.475*44/12</f>
        <v>1.1321272575626224E-11</v>
      </c>
      <c r="AX110" s="23">
        <f t="shared" si="60"/>
        <v>0.27331890118433105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1.9895196601282805E-13</v>
      </c>
      <c r="BE110" s="14">
        <f>BD110*VLOOKUP('Données projet'!$B$11,Paramètres!$A$1:$I$89,3,0)*VLOOKUP('Données projet'!$B$11,Paramètres!$A$1:$I$89,5,0)</f>
        <v>1.3035332813160495E-13</v>
      </c>
      <c r="BF110" s="14">
        <f t="shared" si="91"/>
        <v>1.8987770485018903E-12</v>
      </c>
      <c r="BG110" s="22">
        <f t="shared" si="61"/>
        <v>3.5340687393033375E-12</v>
      </c>
      <c r="BH110" s="62">
        <f t="shared" si="62"/>
        <v>293.33333333333684</v>
      </c>
      <c r="BI110" s="62">
        <f ca="1">AVERAGE(OFFSET($BH$3,0,0,'Données projet'!$E$11+1,1))-AVERAGE(OFFSET($H$3,0,0,'Données projet'!$E$11+1,1))</f>
        <v>154.44480170404967</v>
      </c>
      <c r="BJ110" s="62">
        <f t="shared" si="92"/>
        <v>186.45728006007272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1.9895196601282805E-13</v>
      </c>
      <c r="BZ110" s="14">
        <f>BY110*VLOOKUP('Données projet'!$B$12,Paramètres!$A$1:$I$89,3,0)*VLOOKUP('Données projet'!$B$12,Paramètres!$A$1:$I$89,5,0)</f>
        <v>1.3035332813160495E-13</v>
      </c>
      <c r="CA110" s="14">
        <f t="shared" si="93"/>
        <v>1.8987770485018903E-12</v>
      </c>
      <c r="CB110" s="22">
        <f t="shared" si="64"/>
        <v>3.5340687393033375E-12</v>
      </c>
      <c r="CC110" s="62">
        <f t="shared" si="65"/>
        <v>293.33333333333684</v>
      </c>
      <c r="CD110" s="62">
        <f ca="1">AVERAGE(OFFSET($CC$3,0,0,'Données projet'!$E$12+1,1))-AVERAGE(OFFSET($H$3,0,0,'Données projet'!$E$12+1,1))</f>
        <v>154.44480170404967</v>
      </c>
      <c r="CE110" s="62">
        <f t="shared" si="94"/>
        <v>186.45728006007272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9">
        <f t="shared" si="56"/>
        <v>425.48243823309122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1.9508661353029313E-13</v>
      </c>
      <c r="P111" s="14">
        <f t="shared" si="87"/>
        <v>2.711421636700695E-12</v>
      </c>
      <c r="Q111" s="22">
        <f t="shared" si="107"/>
        <v>5.0621685358189711E-12</v>
      </c>
      <c r="R111" s="62">
        <f t="shared" si="55"/>
        <v>293.33333333333837</v>
      </c>
      <c r="S111" s="62">
        <f ca="1">AVERAGE(OFFSET($R$3,0,0,'Données projet'!$E$9+1,1))-AVERAGE(OFFSET($H$3,0,0,'Données projet'!$E$9+1,1))</f>
        <v>178.42783874015521</v>
      </c>
      <c r="T111" s="62">
        <f t="shared" si="88"/>
        <v>140.03904900962556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0.20434085472895391</v>
      </c>
      <c r="AB111" s="23">
        <f>EXP(-LN(2)/2)*AB110+(1-EXP(-LN(2)/2))/(LN(2)/2)*V111*Y111*VLOOKUP('Données projet'!$B$9,Paramètres!$A$1:$I$89,3,0)*0.475*44/12</f>
        <v>1.2495049999855111E-12</v>
      </c>
      <c r="AC111" s="24">
        <f t="shared" si="57"/>
        <v>0.20434085473020341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216.16876563248064</v>
      </c>
      <c r="AO111" s="62">
        <f t="shared" si="90"/>
        <v>137.55906339137317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0.26584498144721747</v>
      </c>
      <c r="AW111" s="23">
        <f>EXP(-LN(2)/2)*AW110+(1-EXP(-LN(2)/2))/(LN(2)/2)*AQ111*AT111*VLOOKUP('Données projet'!$B$10,Paramètres!$A$1:$I$89,3,0)*0.475*44/12</f>
        <v>8.0053486098865936E-12</v>
      </c>
      <c r="AX111" s="23">
        <f t="shared" si="60"/>
        <v>0.26584498145522284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1.9895196601282805E-13</v>
      </c>
      <c r="BE111" s="14">
        <f>BD111*VLOOKUP('Données projet'!$B$11,Paramètres!$A$1:$I$89,3,0)*VLOOKUP('Données projet'!$B$11,Paramètres!$A$1:$I$89,5,0)</f>
        <v>1.3035332813160495E-13</v>
      </c>
      <c r="BF111" s="14">
        <f t="shared" si="91"/>
        <v>1.8987770485018903E-12</v>
      </c>
      <c r="BG111" s="22">
        <f t="shared" si="61"/>
        <v>3.5340687393033375E-12</v>
      </c>
      <c r="BH111" s="62">
        <f t="shared" si="62"/>
        <v>293.33333333333684</v>
      </c>
      <c r="BI111" s="62">
        <f ca="1">AVERAGE(OFFSET($BH$3,0,0,'Données projet'!$E$11+1,1))-AVERAGE(OFFSET($H$3,0,0,'Données projet'!$E$11+1,1))</f>
        <v>154.44480170404967</v>
      </c>
      <c r="BJ111" s="62">
        <f t="shared" si="92"/>
        <v>186.45728006007272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1.9895196601282805E-13</v>
      </c>
      <c r="BZ111" s="14">
        <f>BY111*VLOOKUP('Données projet'!$B$12,Paramètres!$A$1:$I$89,3,0)*VLOOKUP('Données projet'!$B$12,Paramètres!$A$1:$I$89,5,0)</f>
        <v>1.3035332813160495E-13</v>
      </c>
      <c r="CA111" s="14">
        <f t="shared" si="93"/>
        <v>1.8987770485018903E-12</v>
      </c>
      <c r="CB111" s="22">
        <f t="shared" si="64"/>
        <v>3.5340687393033375E-12</v>
      </c>
      <c r="CC111" s="62">
        <f t="shared" si="65"/>
        <v>293.33333333333684</v>
      </c>
      <c r="CD111" s="62">
        <f ca="1">AVERAGE(OFFSET($CC$3,0,0,'Données projet'!$E$12+1,1))-AVERAGE(OFFSET($H$3,0,0,'Données projet'!$E$12+1,1))</f>
        <v>154.44480170404967</v>
      </c>
      <c r="CE111" s="62">
        <f t="shared" si="94"/>
        <v>186.45728006007272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9">
        <f t="shared" si="56"/>
        <v>426.67417488581191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1.9508661353029313E-13</v>
      </c>
      <c r="P112" s="14">
        <f t="shared" si="87"/>
        <v>2.711421636700695E-12</v>
      </c>
      <c r="Q112" s="22">
        <f t="shared" si="107"/>
        <v>5.0621685358189711E-12</v>
      </c>
      <c r="R112" s="62">
        <f t="shared" si="55"/>
        <v>293.33333333333837</v>
      </c>
      <c r="S112" s="62">
        <f ca="1">AVERAGE(OFFSET($R$3,0,0,'Données projet'!$E$9+1,1))-AVERAGE(OFFSET($H$3,0,0,'Données projet'!$E$9+1,1))</f>
        <v>178.42783874015521</v>
      </c>
      <c r="T112" s="62">
        <f t="shared" si="88"/>
        <v>140.03904900962556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0.19875314331057214</v>
      </c>
      <c r="AB112" s="23">
        <f>EXP(-LN(2)/2)*AB111+(1-EXP(-LN(2)/2))/(LN(2)/2)*V112*Y112*VLOOKUP('Données projet'!$B$9,Paramètres!$A$1:$I$89,3,0)*0.475*44/12</f>
        <v>8.8353345861625197E-13</v>
      </c>
      <c r="AC112" s="24">
        <f t="shared" si="57"/>
        <v>0.19875314331145569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216.16876563248064</v>
      </c>
      <c r="AO112" s="62">
        <f t="shared" si="90"/>
        <v>137.55906339137317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0.25857543644936332</v>
      </c>
      <c r="AW112" s="23">
        <f>EXP(-LN(2)/2)*AW111+(1-EXP(-LN(2)/2))/(LN(2)/2)*AQ112*AT112*VLOOKUP('Données projet'!$B$10,Paramètres!$A$1:$I$89,3,0)*0.475*44/12</f>
        <v>5.660636287813112E-12</v>
      </c>
      <c r="AX112" s="23">
        <f t="shared" si="60"/>
        <v>0.25857543645502395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1.9895196601282805E-13</v>
      </c>
      <c r="BE112" s="14">
        <f>BD112*VLOOKUP('Données projet'!$B$11,Paramètres!$A$1:$I$89,3,0)*VLOOKUP('Données projet'!$B$11,Paramètres!$A$1:$I$89,5,0)</f>
        <v>1.3035332813160495E-13</v>
      </c>
      <c r="BF112" s="14">
        <f t="shared" si="91"/>
        <v>1.8987770485018903E-12</v>
      </c>
      <c r="BG112" s="22">
        <f t="shared" si="61"/>
        <v>3.5340687393033375E-12</v>
      </c>
      <c r="BH112" s="62">
        <f t="shared" si="62"/>
        <v>293.33333333333684</v>
      </c>
      <c r="BI112" s="62">
        <f ca="1">AVERAGE(OFFSET($BH$3,0,0,'Données projet'!$E$11+1,1))-AVERAGE(OFFSET($H$3,0,0,'Données projet'!$E$11+1,1))</f>
        <v>154.44480170404967</v>
      </c>
      <c r="BJ112" s="62">
        <f t="shared" si="92"/>
        <v>186.45728006007272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1.9895196601282805E-13</v>
      </c>
      <c r="BZ112" s="14">
        <f>BY112*VLOOKUP('Données projet'!$B$12,Paramètres!$A$1:$I$89,3,0)*VLOOKUP('Données projet'!$B$12,Paramètres!$A$1:$I$89,5,0)</f>
        <v>1.3035332813160495E-13</v>
      </c>
      <c r="CA112" s="14">
        <f t="shared" si="93"/>
        <v>1.8987770485018903E-12</v>
      </c>
      <c r="CB112" s="22">
        <f t="shared" si="64"/>
        <v>3.5340687393033375E-12</v>
      </c>
      <c r="CC112" s="62">
        <f t="shared" si="65"/>
        <v>293.33333333333684</v>
      </c>
      <c r="CD112" s="62">
        <f ca="1">AVERAGE(OFFSET($CC$3,0,0,'Données projet'!$E$12+1,1))-AVERAGE(OFFSET($H$3,0,0,'Données projet'!$E$12+1,1))</f>
        <v>154.44480170404967</v>
      </c>
      <c r="CE112" s="62">
        <f t="shared" si="94"/>
        <v>186.45728006007272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9">
        <f t="shared" si="56"/>
        <v>427.8656545383293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1.9508661353029313E-13</v>
      </c>
      <c r="P113" s="14">
        <f t="shared" si="87"/>
        <v>2.711421636700695E-12</v>
      </c>
      <c r="Q113" s="22">
        <f t="shared" si="107"/>
        <v>5.0621685358189711E-12</v>
      </c>
      <c r="R113" s="62">
        <f t="shared" si="55"/>
        <v>293.33333333333837</v>
      </c>
      <c r="S113" s="62">
        <f ca="1">AVERAGE(OFFSET($R$3,0,0,'Données projet'!$E$9+1,1))-AVERAGE(OFFSET($H$3,0,0,'Données projet'!$E$9+1,1))</f>
        <v>178.42783874015521</v>
      </c>
      <c r="T113" s="62">
        <f t="shared" si="88"/>
        <v>140.03904900962556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0.19331822815477101</v>
      </c>
      <c r="AB113" s="23">
        <f>EXP(-LN(2)/2)*AB112+(1-EXP(-LN(2)/2))/(LN(2)/2)*V113*Y113*VLOOKUP('Données projet'!$B$9,Paramètres!$A$1:$I$89,3,0)*0.475*44/12</f>
        <v>6.2475249999275567E-13</v>
      </c>
      <c r="AC113" s="24">
        <f t="shared" si="57"/>
        <v>0.19331822815539576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216.16876563248064</v>
      </c>
      <c r="AO113" s="62">
        <f t="shared" si="90"/>
        <v>137.55906339137317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0.25150467754176425</v>
      </c>
      <c r="AW113" s="23">
        <f>EXP(-LN(2)/2)*AW112+(1-EXP(-LN(2)/2))/(LN(2)/2)*AQ113*AT113*VLOOKUP('Données projet'!$B$10,Paramètres!$A$1:$I$89,3,0)*0.475*44/12</f>
        <v>4.0026743049432968E-12</v>
      </c>
      <c r="AX113" s="23">
        <f t="shared" si="60"/>
        <v>0.25150467754576694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1.9895196601282805E-13</v>
      </c>
      <c r="BE113" s="14">
        <f>BD113*VLOOKUP('Données projet'!$B$11,Paramètres!$A$1:$I$89,3,0)*VLOOKUP('Données projet'!$B$11,Paramètres!$A$1:$I$89,5,0)</f>
        <v>1.3035332813160495E-13</v>
      </c>
      <c r="BF113" s="14">
        <f t="shared" si="91"/>
        <v>1.8987770485018903E-12</v>
      </c>
      <c r="BG113" s="22">
        <f t="shared" si="61"/>
        <v>3.5340687393033375E-12</v>
      </c>
      <c r="BH113" s="62">
        <f t="shared" si="62"/>
        <v>293.33333333333684</v>
      </c>
      <c r="BI113" s="62">
        <f ca="1">AVERAGE(OFFSET($BH$3,0,0,'Données projet'!$E$11+1,1))-AVERAGE(OFFSET($H$3,0,0,'Données projet'!$E$11+1,1))</f>
        <v>154.44480170404967</v>
      </c>
      <c r="BJ113" s="62">
        <f t="shared" si="92"/>
        <v>186.45728006007272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1.9895196601282805E-13</v>
      </c>
      <c r="BZ113" s="14">
        <f>BY113*VLOOKUP('Données projet'!$B$12,Paramètres!$A$1:$I$89,3,0)*VLOOKUP('Données projet'!$B$12,Paramètres!$A$1:$I$89,5,0)</f>
        <v>1.3035332813160495E-13</v>
      </c>
      <c r="CA113" s="14">
        <f t="shared" si="93"/>
        <v>1.8987770485018903E-12</v>
      </c>
      <c r="CB113" s="22">
        <f t="shared" si="64"/>
        <v>3.5340687393033375E-12</v>
      </c>
      <c r="CC113" s="62">
        <f t="shared" si="65"/>
        <v>293.33333333333684</v>
      </c>
      <c r="CD113" s="62">
        <f ca="1">AVERAGE(OFFSET($CC$3,0,0,'Données projet'!$E$12+1,1))-AVERAGE(OFFSET($H$3,0,0,'Données projet'!$E$12+1,1))</f>
        <v>154.44480170404967</v>
      </c>
      <c r="CE113" s="62">
        <f t="shared" si="94"/>
        <v>186.45728006007272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9">
        <f t="shared" si="56"/>
        <v>429.05687979765457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1.9508661353029313E-13</v>
      </c>
      <c r="P114" s="14">
        <f t="shared" si="87"/>
        <v>2.711421636700695E-12</v>
      </c>
      <c r="Q114" s="22">
        <f t="shared" si="107"/>
        <v>5.0621685358189711E-12</v>
      </c>
      <c r="R114" s="62">
        <f t="shared" si="55"/>
        <v>293.33333333333837</v>
      </c>
      <c r="S114" s="62">
        <f ca="1">AVERAGE(OFFSET($R$3,0,0,'Données projet'!$E$9+1,1))-AVERAGE(OFFSET($H$3,0,0,'Données projet'!$E$9+1,1))</f>
        <v>178.42783874015521</v>
      </c>
      <c r="T114" s="62">
        <f t="shared" si="88"/>
        <v>140.03904900962556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0.18803193103971502</v>
      </c>
      <c r="AB114" s="23">
        <f>EXP(-LN(2)/2)*AB113+(1-EXP(-LN(2)/2))/(LN(2)/2)*V114*Y114*VLOOKUP('Données projet'!$B$9,Paramètres!$A$1:$I$89,3,0)*0.475*44/12</f>
        <v>4.4176672930812604E-13</v>
      </c>
      <c r="AC114" s="24">
        <f t="shared" si="57"/>
        <v>0.18803193104015678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216.16876563248064</v>
      </c>
      <c r="AO114" s="62">
        <f t="shared" si="90"/>
        <v>137.55906339137317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0.24462726890832853</v>
      </c>
      <c r="AW114" s="23">
        <f>EXP(-LN(2)/2)*AW113+(1-EXP(-LN(2)/2))/(LN(2)/2)*AQ114*AT114*VLOOKUP('Données projet'!$B$10,Paramètres!$A$1:$I$89,3,0)*0.475*44/12</f>
        <v>2.830318143906556E-12</v>
      </c>
      <c r="AX114" s="23">
        <f t="shared" si="60"/>
        <v>0.24462726891115885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1.9895196601282805E-13</v>
      </c>
      <c r="BE114" s="14">
        <f>BD114*VLOOKUP('Données projet'!$B$11,Paramètres!$A$1:$I$89,3,0)*VLOOKUP('Données projet'!$B$11,Paramètres!$A$1:$I$89,5,0)</f>
        <v>1.3035332813160495E-13</v>
      </c>
      <c r="BF114" s="14">
        <f t="shared" si="91"/>
        <v>1.8987770485018903E-12</v>
      </c>
      <c r="BG114" s="22">
        <f t="shared" si="61"/>
        <v>3.5340687393033375E-12</v>
      </c>
      <c r="BH114" s="62">
        <f t="shared" si="62"/>
        <v>293.33333333333684</v>
      </c>
      <c r="BI114" s="62">
        <f ca="1">AVERAGE(OFFSET($BH$3,0,0,'Données projet'!$E$11+1,1))-AVERAGE(OFFSET($H$3,0,0,'Données projet'!$E$11+1,1))</f>
        <v>154.44480170404967</v>
      </c>
      <c r="BJ114" s="62">
        <f t="shared" si="92"/>
        <v>186.45728006007272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1.9895196601282805E-13</v>
      </c>
      <c r="BZ114" s="14">
        <f>BY114*VLOOKUP('Données projet'!$B$12,Paramètres!$A$1:$I$89,3,0)*VLOOKUP('Données projet'!$B$12,Paramètres!$A$1:$I$89,5,0)</f>
        <v>1.3035332813160495E-13</v>
      </c>
      <c r="CA114" s="14">
        <f t="shared" si="93"/>
        <v>1.8987770485018903E-12</v>
      </c>
      <c r="CB114" s="22">
        <f t="shared" si="64"/>
        <v>3.5340687393033375E-12</v>
      </c>
      <c r="CC114" s="62">
        <f t="shared" si="65"/>
        <v>293.33333333333684</v>
      </c>
      <c r="CD114" s="62">
        <f ca="1">AVERAGE(OFFSET($CC$3,0,0,'Données projet'!$E$12+1,1))-AVERAGE(OFFSET($H$3,0,0,'Données projet'!$E$12+1,1))</f>
        <v>154.44480170404967</v>
      </c>
      <c r="CE114" s="62">
        <f t="shared" si="94"/>
        <v>186.45728006007272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9">
        <f t="shared" si="56"/>
        <v>430.24785322111563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1.9508661353029313E-13</v>
      </c>
      <c r="P115" s="14">
        <f t="shared" si="87"/>
        <v>2.711421636700695E-12</v>
      </c>
      <c r="Q115" s="22">
        <f t="shared" si="107"/>
        <v>5.0621685358189711E-12</v>
      </c>
      <c r="R115" s="62">
        <f t="shared" si="55"/>
        <v>293.33333333333837</v>
      </c>
      <c r="S115" s="62">
        <f ca="1">AVERAGE(OFFSET($R$3,0,0,'Données projet'!$E$9+1,1))-AVERAGE(OFFSET($H$3,0,0,'Données projet'!$E$9+1,1))</f>
        <v>178.42783874015521</v>
      </c>
      <c r="T115" s="62">
        <f t="shared" si="88"/>
        <v>140.03904900962556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0.1828901879972645</v>
      </c>
      <c r="AB115" s="23">
        <f>EXP(-LN(2)/2)*AB114+(1-EXP(-LN(2)/2))/(LN(2)/2)*V115*Y115*VLOOKUP('Données projet'!$B$9,Paramètres!$A$1:$I$89,3,0)*0.475*44/12</f>
        <v>3.1237624999637789E-13</v>
      </c>
      <c r="AC115" s="24">
        <f t="shared" si="57"/>
        <v>0.18289018799757689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216.16876563248064</v>
      </c>
      <c r="AO115" s="62">
        <f t="shared" si="90"/>
        <v>137.55906339137317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0.23793792337564132</v>
      </c>
      <c r="AW115" s="23">
        <f>EXP(-LN(2)/2)*AW114+(1-EXP(-LN(2)/2))/(LN(2)/2)*AQ115*AT115*VLOOKUP('Données projet'!$B$10,Paramètres!$A$1:$I$89,3,0)*0.475*44/12</f>
        <v>2.0013371524716484E-12</v>
      </c>
      <c r="AX115" s="23">
        <f t="shared" si="60"/>
        <v>0.23793792337764266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1.9895196601282805E-13</v>
      </c>
      <c r="BE115" s="14">
        <f>BD115*VLOOKUP('Données projet'!$B$11,Paramètres!$A$1:$I$89,3,0)*VLOOKUP('Données projet'!$B$11,Paramètres!$A$1:$I$89,5,0)</f>
        <v>1.3035332813160495E-13</v>
      </c>
      <c r="BF115" s="14">
        <f t="shared" si="91"/>
        <v>1.8987770485018903E-12</v>
      </c>
      <c r="BG115" s="22">
        <f t="shared" si="61"/>
        <v>3.5340687393033375E-12</v>
      </c>
      <c r="BH115" s="62">
        <f t="shared" si="62"/>
        <v>293.33333333333684</v>
      </c>
      <c r="BI115" s="62">
        <f ca="1">AVERAGE(OFFSET($BH$3,0,0,'Données projet'!$E$11+1,1))-AVERAGE(OFFSET($H$3,0,0,'Données projet'!$E$11+1,1))</f>
        <v>154.44480170404967</v>
      </c>
      <c r="BJ115" s="62">
        <f t="shared" si="92"/>
        <v>186.45728006007272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1.9895196601282805E-13</v>
      </c>
      <c r="BZ115" s="14">
        <f>BY115*VLOOKUP('Données projet'!$B$12,Paramètres!$A$1:$I$89,3,0)*VLOOKUP('Données projet'!$B$12,Paramètres!$A$1:$I$89,5,0)</f>
        <v>1.3035332813160495E-13</v>
      </c>
      <c r="CA115" s="14">
        <f t="shared" si="93"/>
        <v>1.8987770485018903E-12</v>
      </c>
      <c r="CB115" s="22">
        <f t="shared" si="64"/>
        <v>3.5340687393033375E-12</v>
      </c>
      <c r="CC115" s="62">
        <f t="shared" si="65"/>
        <v>293.33333333333684</v>
      </c>
      <c r="CD115" s="62">
        <f ca="1">AVERAGE(OFFSET($CC$3,0,0,'Données projet'!$E$12+1,1))-AVERAGE(OFFSET($H$3,0,0,'Données projet'!$E$12+1,1))</f>
        <v>154.44480170404967</v>
      </c>
      <c r="CE115" s="62">
        <f t="shared" si="94"/>
        <v>186.45728006007272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9">
        <f t="shared" si="56"/>
        <v>431.43857731773937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1.9508661353029313E-13</v>
      </c>
      <c r="P116" s="14">
        <f t="shared" si="87"/>
        <v>2.711421636700695E-12</v>
      </c>
      <c r="Q116" s="22">
        <f t="shared" si="107"/>
        <v>5.0621685358189711E-12</v>
      </c>
      <c r="R116" s="62">
        <f t="shared" si="55"/>
        <v>293.33333333333837</v>
      </c>
      <c r="S116" s="62">
        <f ca="1">AVERAGE(OFFSET($R$3,0,0,'Données projet'!$E$9+1,1))-AVERAGE(OFFSET($H$3,0,0,'Données projet'!$E$9+1,1))</f>
        <v>178.42783874015521</v>
      </c>
      <c r="T116" s="62">
        <f t="shared" si="88"/>
        <v>140.03904900962556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0.17788904618870233</v>
      </c>
      <c r="AB116" s="23">
        <f>EXP(-LN(2)/2)*AB115+(1-EXP(-LN(2)/2))/(LN(2)/2)*V116*Y116*VLOOKUP('Données projet'!$B$9,Paramètres!$A$1:$I$89,3,0)*0.475*44/12</f>
        <v>2.2088336465406307E-13</v>
      </c>
      <c r="AC116" s="24">
        <f t="shared" si="57"/>
        <v>0.17788904618892321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216.16876563248064</v>
      </c>
      <c r="AO116" s="62">
        <f t="shared" si="90"/>
        <v>137.55906339137317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0.23143149834832283</v>
      </c>
      <c r="AW116" s="23">
        <f>EXP(-LN(2)/2)*AW115+(1-EXP(-LN(2)/2))/(LN(2)/2)*AQ116*AT116*VLOOKUP('Données projet'!$B$10,Paramètres!$A$1:$I$89,3,0)*0.475*44/12</f>
        <v>1.415159071953278E-12</v>
      </c>
      <c r="AX116" s="23">
        <f t="shared" si="60"/>
        <v>0.23143149834973797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1.9895196601282805E-13</v>
      </c>
      <c r="BE116" s="14">
        <f>BD116*VLOOKUP('Données projet'!$B$11,Paramètres!$A$1:$I$89,3,0)*VLOOKUP('Données projet'!$B$11,Paramètres!$A$1:$I$89,5,0)</f>
        <v>1.3035332813160495E-13</v>
      </c>
      <c r="BF116" s="14">
        <f t="shared" si="91"/>
        <v>1.8987770485018903E-12</v>
      </c>
      <c r="BG116" s="22">
        <f t="shared" si="61"/>
        <v>3.5340687393033375E-12</v>
      </c>
      <c r="BH116" s="62">
        <f t="shared" si="62"/>
        <v>293.33333333333684</v>
      </c>
      <c r="BI116" s="62">
        <f ca="1">AVERAGE(OFFSET($BH$3,0,0,'Données projet'!$E$11+1,1))-AVERAGE(OFFSET($H$3,0,0,'Données projet'!$E$11+1,1))</f>
        <v>154.44480170404967</v>
      </c>
      <c r="BJ116" s="62">
        <f t="shared" si="92"/>
        <v>186.45728006007272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1.9895196601282805E-13</v>
      </c>
      <c r="BZ116" s="14">
        <f>BY116*VLOOKUP('Données projet'!$B$12,Paramètres!$A$1:$I$89,3,0)*VLOOKUP('Données projet'!$B$12,Paramètres!$A$1:$I$89,5,0)</f>
        <v>1.3035332813160495E-13</v>
      </c>
      <c r="CA116" s="14">
        <f t="shared" si="93"/>
        <v>1.8987770485018903E-12</v>
      </c>
      <c r="CB116" s="22">
        <f t="shared" si="64"/>
        <v>3.5340687393033375E-12</v>
      </c>
      <c r="CC116" s="62">
        <f t="shared" si="65"/>
        <v>293.33333333333684</v>
      </c>
      <c r="CD116" s="62">
        <f ca="1">AVERAGE(OFFSET($CC$3,0,0,'Données projet'!$E$12+1,1))-AVERAGE(OFFSET($H$3,0,0,'Données projet'!$E$12+1,1))</f>
        <v>154.44480170404967</v>
      </c>
      <c r="CE116" s="62">
        <f t="shared" si="94"/>
        <v>186.45728006007272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9">
        <f t="shared" si="56"/>
        <v>432.62905454958297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1.9508661353029313E-13</v>
      </c>
      <c r="P117" s="14">
        <f t="shared" si="87"/>
        <v>2.711421636700695E-12</v>
      </c>
      <c r="Q117" s="22">
        <f t="shared" si="107"/>
        <v>5.0621685358189711E-12</v>
      </c>
      <c r="R117" s="62">
        <f t="shared" si="55"/>
        <v>293.33333333333837</v>
      </c>
      <c r="S117" s="62">
        <f ca="1">AVERAGE(OFFSET($R$3,0,0,'Données projet'!$E$9+1,1))-AVERAGE(OFFSET($H$3,0,0,'Données projet'!$E$9+1,1))</f>
        <v>178.42783874015521</v>
      </c>
      <c r="T117" s="62">
        <f t="shared" si="88"/>
        <v>140.03904900962556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0.17302466086589388</v>
      </c>
      <c r="AB117" s="23">
        <f>EXP(-LN(2)/2)*AB116+(1-EXP(-LN(2)/2))/(LN(2)/2)*V117*Y117*VLOOKUP('Données projet'!$B$9,Paramètres!$A$1:$I$89,3,0)*0.475*44/12</f>
        <v>1.5618812499818897E-13</v>
      </c>
      <c r="AC117" s="24">
        <f t="shared" si="57"/>
        <v>0.17302466086605006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216.16876563248064</v>
      </c>
      <c r="AO117" s="62">
        <f t="shared" si="90"/>
        <v>137.55906339137317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0.2251029918555344</v>
      </c>
      <c r="AW117" s="23">
        <f>EXP(-LN(2)/2)*AW116+(1-EXP(-LN(2)/2))/(LN(2)/2)*AQ117*AT117*VLOOKUP('Données projet'!$B$10,Paramètres!$A$1:$I$89,3,0)*0.475*44/12</f>
        <v>1.0006685762358242E-12</v>
      </c>
      <c r="AX117" s="23">
        <f t="shared" si="60"/>
        <v>0.22510299185653507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1.9895196601282805E-13</v>
      </c>
      <c r="BE117" s="14">
        <f>BD117*VLOOKUP('Données projet'!$B$11,Paramètres!$A$1:$I$89,3,0)*VLOOKUP('Données projet'!$B$11,Paramètres!$A$1:$I$89,5,0)</f>
        <v>1.3035332813160495E-13</v>
      </c>
      <c r="BF117" s="14">
        <f t="shared" si="91"/>
        <v>1.8987770485018903E-12</v>
      </c>
      <c r="BG117" s="22">
        <f t="shared" si="61"/>
        <v>3.5340687393033375E-12</v>
      </c>
      <c r="BH117" s="62">
        <f t="shared" si="62"/>
        <v>293.33333333333684</v>
      </c>
      <c r="BI117" s="62">
        <f ca="1">AVERAGE(OFFSET($BH$3,0,0,'Données projet'!$E$11+1,1))-AVERAGE(OFFSET($H$3,0,0,'Données projet'!$E$11+1,1))</f>
        <v>154.44480170404967</v>
      </c>
      <c r="BJ117" s="62">
        <f t="shared" si="92"/>
        <v>186.45728006007272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1.9895196601282805E-13</v>
      </c>
      <c r="BZ117" s="14">
        <f>BY117*VLOOKUP('Données projet'!$B$12,Paramètres!$A$1:$I$89,3,0)*VLOOKUP('Données projet'!$B$12,Paramètres!$A$1:$I$89,5,0)</f>
        <v>1.3035332813160495E-13</v>
      </c>
      <c r="CA117" s="14">
        <f t="shared" si="93"/>
        <v>1.8987770485018903E-12</v>
      </c>
      <c r="CB117" s="22">
        <f t="shared" si="64"/>
        <v>3.5340687393033375E-12</v>
      </c>
      <c r="CC117" s="62">
        <f t="shared" si="65"/>
        <v>293.33333333333684</v>
      </c>
      <c r="CD117" s="62">
        <f ca="1">AVERAGE(OFFSET($CC$3,0,0,'Données projet'!$E$12+1,1))-AVERAGE(OFFSET($H$3,0,0,'Données projet'!$E$12+1,1))</f>
        <v>154.44480170404967</v>
      </c>
      <c r="CE117" s="62">
        <f t="shared" si="94"/>
        <v>186.45728006007272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9">
        <f t="shared" si="56"/>
        <v>433.81928733301731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1.9508661353029313E-13</v>
      </c>
      <c r="P118" s="14">
        <f t="shared" si="87"/>
        <v>2.711421636700695E-12</v>
      </c>
      <c r="Q118" s="22">
        <f t="shared" si="107"/>
        <v>5.0621685358189711E-12</v>
      </c>
      <c r="R118" s="62">
        <f t="shared" si="55"/>
        <v>293.33333333333837</v>
      </c>
      <c r="S118" s="62">
        <f ca="1">AVERAGE(OFFSET($R$3,0,0,'Données projet'!$E$9+1,1))-AVERAGE(OFFSET($H$3,0,0,'Données projet'!$E$9+1,1))</f>
        <v>178.42783874015521</v>
      </c>
      <c r="T118" s="62">
        <f t="shared" si="88"/>
        <v>140.03904900962556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0.16829329241554455</v>
      </c>
      <c r="AB118" s="23">
        <f>EXP(-LN(2)/2)*AB117+(1-EXP(-LN(2)/2))/(LN(2)/2)*V118*Y118*VLOOKUP('Données projet'!$B$9,Paramètres!$A$1:$I$89,3,0)*0.475*44/12</f>
        <v>1.1044168232703155E-13</v>
      </c>
      <c r="AC118" s="24">
        <f t="shared" si="57"/>
        <v>0.16829329241565499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216.16876563248064</v>
      </c>
      <c r="AO118" s="62">
        <f t="shared" si="90"/>
        <v>137.55906339137317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0.21894753870559294</v>
      </c>
      <c r="AW118" s="23">
        <f>EXP(-LN(2)/2)*AW117+(1-EXP(-LN(2)/2))/(LN(2)/2)*AQ118*AT118*VLOOKUP('Données projet'!$B$10,Paramètres!$A$1:$I$89,3,0)*0.475*44/12</f>
        <v>7.07579535976639E-13</v>
      </c>
      <c r="AX118" s="23">
        <f t="shared" si="60"/>
        <v>0.21894753870630052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1.9895196601282805E-13</v>
      </c>
      <c r="BE118" s="14">
        <f>BD118*VLOOKUP('Données projet'!$B$11,Paramètres!$A$1:$I$89,3,0)*VLOOKUP('Données projet'!$B$11,Paramètres!$A$1:$I$89,5,0)</f>
        <v>1.3035332813160495E-13</v>
      </c>
      <c r="BF118" s="14">
        <f t="shared" si="91"/>
        <v>1.8987770485018903E-12</v>
      </c>
      <c r="BG118" s="22">
        <f t="shared" si="61"/>
        <v>3.5340687393033375E-12</v>
      </c>
      <c r="BH118" s="62">
        <f t="shared" si="62"/>
        <v>293.33333333333684</v>
      </c>
      <c r="BI118" s="62">
        <f ca="1">AVERAGE(OFFSET($BH$3,0,0,'Données projet'!$E$11+1,1))-AVERAGE(OFFSET($H$3,0,0,'Données projet'!$E$11+1,1))</f>
        <v>154.44480170404967</v>
      </c>
      <c r="BJ118" s="62">
        <f t="shared" si="92"/>
        <v>186.45728006007272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1.9895196601282805E-13</v>
      </c>
      <c r="BZ118" s="14">
        <f>BY118*VLOOKUP('Données projet'!$B$12,Paramètres!$A$1:$I$89,3,0)*VLOOKUP('Données projet'!$B$12,Paramètres!$A$1:$I$89,5,0)</f>
        <v>1.3035332813160495E-13</v>
      </c>
      <c r="CA118" s="14">
        <f t="shared" si="93"/>
        <v>1.8987770485018903E-12</v>
      </c>
      <c r="CB118" s="22">
        <f t="shared" si="64"/>
        <v>3.5340687393033375E-12</v>
      </c>
      <c r="CC118" s="62">
        <f t="shared" si="65"/>
        <v>293.33333333333684</v>
      </c>
      <c r="CD118" s="62">
        <f ca="1">AVERAGE(OFFSET($CC$3,0,0,'Données projet'!$E$12+1,1))-AVERAGE(OFFSET($H$3,0,0,'Données projet'!$E$12+1,1))</f>
        <v>154.44480170404967</v>
      </c>
      <c r="CE118" s="62">
        <f t="shared" si="94"/>
        <v>186.45728006007272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9">
        <f t="shared" si="56"/>
        <v>435.00927803996456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1.9508661353029313E-13</v>
      </c>
      <c r="P119" s="14">
        <f t="shared" si="87"/>
        <v>2.711421636700695E-12</v>
      </c>
      <c r="Q119" s="22">
        <f t="shared" si="107"/>
        <v>5.0621685358189711E-12</v>
      </c>
      <c r="R119" s="62">
        <f t="shared" si="55"/>
        <v>293.33333333333837</v>
      </c>
      <c r="S119" s="62">
        <f ca="1">AVERAGE(OFFSET($R$3,0,0,'Données projet'!$E$9+1,1))-AVERAGE(OFFSET($H$3,0,0,'Données projet'!$E$9+1,1))</f>
        <v>178.42783874015521</v>
      </c>
      <c r="T119" s="62">
        <f t="shared" si="88"/>
        <v>140.03904900962556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0.16369130348428187</v>
      </c>
      <c r="AB119" s="23">
        <f>EXP(-LN(2)/2)*AB118+(1-EXP(-LN(2)/2))/(LN(2)/2)*V119*Y119*VLOOKUP('Données projet'!$B$9,Paramètres!$A$1:$I$89,3,0)*0.475*44/12</f>
        <v>7.8094062499094497E-14</v>
      </c>
      <c r="AC119" s="24">
        <f t="shared" si="57"/>
        <v>0.16369130348435998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216.16876563248064</v>
      </c>
      <c r="AO119" s="62">
        <f t="shared" si="90"/>
        <v>137.55906339137317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0.21296040674573785</v>
      </c>
      <c r="AW119" s="23">
        <f>EXP(-LN(2)/2)*AW118+(1-EXP(-LN(2)/2))/(LN(2)/2)*AQ119*AT119*VLOOKUP('Données projet'!$B$10,Paramètres!$A$1:$I$89,3,0)*0.475*44/12</f>
        <v>5.003342881179121E-13</v>
      </c>
      <c r="AX119" s="23">
        <f t="shared" si="60"/>
        <v>0.21296040674623817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1.9895196601282805E-13</v>
      </c>
      <c r="BE119" s="14">
        <f>BD119*VLOOKUP('Données projet'!$B$11,Paramètres!$A$1:$I$89,3,0)*VLOOKUP('Données projet'!$B$11,Paramètres!$A$1:$I$89,5,0)</f>
        <v>1.3035332813160495E-13</v>
      </c>
      <c r="BF119" s="14">
        <f t="shared" si="91"/>
        <v>1.8987770485018903E-12</v>
      </c>
      <c r="BG119" s="22">
        <f t="shared" si="61"/>
        <v>3.5340687393033375E-12</v>
      </c>
      <c r="BH119" s="62">
        <f t="shared" si="62"/>
        <v>293.33333333333684</v>
      </c>
      <c r="BI119" s="62">
        <f ca="1">AVERAGE(OFFSET($BH$3,0,0,'Données projet'!$E$11+1,1))-AVERAGE(OFFSET($H$3,0,0,'Données projet'!$E$11+1,1))</f>
        <v>154.44480170404967</v>
      </c>
      <c r="BJ119" s="62">
        <f t="shared" si="92"/>
        <v>186.45728006007272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1.9895196601282805E-13</v>
      </c>
      <c r="BZ119" s="14">
        <f>BY119*VLOOKUP('Données projet'!$B$12,Paramètres!$A$1:$I$89,3,0)*VLOOKUP('Données projet'!$B$12,Paramètres!$A$1:$I$89,5,0)</f>
        <v>1.3035332813160495E-13</v>
      </c>
      <c r="CA119" s="14">
        <f t="shared" si="93"/>
        <v>1.8987770485018903E-12</v>
      </c>
      <c r="CB119" s="22">
        <f t="shared" si="64"/>
        <v>3.5340687393033375E-12</v>
      </c>
      <c r="CC119" s="62">
        <f t="shared" si="65"/>
        <v>293.33333333333684</v>
      </c>
      <c r="CD119" s="62">
        <f ca="1">AVERAGE(OFFSET($CC$3,0,0,'Données projet'!$E$12+1,1))-AVERAGE(OFFSET($H$3,0,0,'Données projet'!$E$12+1,1))</f>
        <v>154.44480170404967</v>
      </c>
      <c r="CE119" s="62">
        <f t="shared" si="94"/>
        <v>186.45728006007272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9">
        <f t="shared" si="56"/>
        <v>436.19902899909141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1.9508661353029313E-13</v>
      </c>
      <c r="P120" s="14">
        <f t="shared" si="87"/>
        <v>2.711421636700695E-12</v>
      </c>
      <c r="Q120" s="22">
        <f t="shared" si="107"/>
        <v>5.0621685358189711E-12</v>
      </c>
      <c r="R120" s="62">
        <f t="shared" si="55"/>
        <v>293.33333333333837</v>
      </c>
      <c r="S120" s="62">
        <f ca="1">AVERAGE(OFFSET($R$3,0,0,'Données projet'!$E$9+1,1))-AVERAGE(OFFSET($H$3,0,0,'Données projet'!$E$9+1,1))</f>
        <v>178.42783874015521</v>
      </c>
      <c r="T120" s="62">
        <f t="shared" si="88"/>
        <v>140.03904900962556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0.15921515618235266</v>
      </c>
      <c r="AB120" s="23">
        <f>EXP(-LN(2)/2)*AB119+(1-EXP(-LN(2)/2))/(LN(2)/2)*V120*Y120*VLOOKUP('Données projet'!$B$9,Paramètres!$A$1:$I$89,3,0)*0.475*44/12</f>
        <v>5.5220841163515786E-14</v>
      </c>
      <c r="AC120" s="24">
        <f t="shared" si="57"/>
        <v>0.15921515618240789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216.16876563248064</v>
      </c>
      <c r="AO120" s="62">
        <f t="shared" si="90"/>
        <v>137.55906339137317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0.20713699322417459</v>
      </c>
      <c r="AW120" s="23">
        <f>EXP(-LN(2)/2)*AW119+(1-EXP(-LN(2)/2))/(LN(2)/2)*AQ120*AT120*VLOOKUP('Données projet'!$B$10,Paramètres!$A$1:$I$89,3,0)*0.475*44/12</f>
        <v>3.537897679883195E-13</v>
      </c>
      <c r="AX120" s="23">
        <f t="shared" si="60"/>
        <v>0.20713699322452839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1.9895196601282805E-13</v>
      </c>
      <c r="BE120" s="14">
        <f>BD120*VLOOKUP('Données projet'!$B$11,Paramètres!$A$1:$I$89,3,0)*VLOOKUP('Données projet'!$B$11,Paramètres!$A$1:$I$89,5,0)</f>
        <v>1.3035332813160495E-13</v>
      </c>
      <c r="BF120" s="14">
        <f t="shared" si="91"/>
        <v>1.8987770485018903E-12</v>
      </c>
      <c r="BG120" s="22">
        <f t="shared" si="61"/>
        <v>3.5340687393033375E-12</v>
      </c>
      <c r="BH120" s="62">
        <f t="shared" si="62"/>
        <v>293.33333333333684</v>
      </c>
      <c r="BI120" s="62">
        <f ca="1">AVERAGE(OFFSET($BH$3,0,0,'Données projet'!$E$11+1,1))-AVERAGE(OFFSET($H$3,0,0,'Données projet'!$E$11+1,1))</f>
        <v>154.44480170404967</v>
      </c>
      <c r="BJ120" s="62">
        <f t="shared" si="92"/>
        <v>186.45728006007272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1.9895196601282805E-13</v>
      </c>
      <c r="BZ120" s="14">
        <f>BY120*VLOOKUP('Données projet'!$B$12,Paramètres!$A$1:$I$89,3,0)*VLOOKUP('Données projet'!$B$12,Paramètres!$A$1:$I$89,5,0)</f>
        <v>1.3035332813160495E-13</v>
      </c>
      <c r="CA120" s="14">
        <f t="shared" si="93"/>
        <v>1.8987770485018903E-12</v>
      </c>
      <c r="CB120" s="22">
        <f t="shared" si="64"/>
        <v>3.5340687393033375E-12</v>
      </c>
      <c r="CC120" s="62">
        <f t="shared" si="65"/>
        <v>293.33333333333684</v>
      </c>
      <c r="CD120" s="62">
        <f ca="1">AVERAGE(OFFSET($CC$3,0,0,'Données projet'!$E$12+1,1))-AVERAGE(OFFSET($H$3,0,0,'Données projet'!$E$12+1,1))</f>
        <v>154.44480170404967</v>
      </c>
      <c r="CE120" s="62">
        <f t="shared" si="94"/>
        <v>186.45728006007272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9">
        <f t="shared" si="56"/>
        <v>437.38854249696135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1.9508661353029313E-13</v>
      </c>
      <c r="P121" s="14">
        <f t="shared" si="87"/>
        <v>2.711421636700695E-12</v>
      </c>
      <c r="Q121" s="22">
        <f t="shared" si="107"/>
        <v>5.0621685358189711E-12</v>
      </c>
      <c r="R121" s="62">
        <f t="shared" si="55"/>
        <v>293.33333333333837</v>
      </c>
      <c r="S121" s="62">
        <f ca="1">AVERAGE(OFFSET($R$3,0,0,'Données projet'!$E$9+1,1))-AVERAGE(OFFSET($H$3,0,0,'Données projet'!$E$9+1,1))</f>
        <v>178.42783874015521</v>
      </c>
      <c r="T121" s="62">
        <f t="shared" si="88"/>
        <v>140.03904900962556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0.15486140936378506</v>
      </c>
      <c r="AB121" s="23">
        <f>EXP(-LN(2)/2)*AB120+(1-EXP(-LN(2)/2))/(LN(2)/2)*V121*Y121*VLOOKUP('Données projet'!$B$9,Paramètres!$A$1:$I$89,3,0)*0.475*44/12</f>
        <v>3.9047031249547255E-14</v>
      </c>
      <c r="AC121" s="24">
        <f t="shared" si="57"/>
        <v>0.15486140936382412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216.16876563248064</v>
      </c>
      <c r="AO121" s="62">
        <f t="shared" si="90"/>
        <v>137.55906339137317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0.20147282125159849</v>
      </c>
      <c r="AW121" s="23">
        <f>EXP(-LN(2)/2)*AW120+(1-EXP(-LN(2)/2))/(LN(2)/2)*AQ121*AT121*VLOOKUP('Données projet'!$B$10,Paramètres!$A$1:$I$89,3,0)*0.475*44/12</f>
        <v>2.5016714405895605E-13</v>
      </c>
      <c r="AX121" s="23">
        <f t="shared" si="60"/>
        <v>0.20147282125184865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1.9895196601282805E-13</v>
      </c>
      <c r="BE121" s="14">
        <f>BD121*VLOOKUP('Données projet'!$B$11,Paramètres!$A$1:$I$89,3,0)*VLOOKUP('Données projet'!$B$11,Paramètres!$A$1:$I$89,5,0)</f>
        <v>1.3035332813160495E-13</v>
      </c>
      <c r="BF121" s="14">
        <f t="shared" si="91"/>
        <v>1.8987770485018903E-12</v>
      </c>
      <c r="BG121" s="22">
        <f t="shared" si="61"/>
        <v>3.5340687393033375E-12</v>
      </c>
      <c r="BH121" s="62">
        <f t="shared" si="62"/>
        <v>293.33333333333684</v>
      </c>
      <c r="BI121" s="62">
        <f ca="1">AVERAGE(OFFSET($BH$3,0,0,'Données projet'!$E$11+1,1))-AVERAGE(OFFSET($H$3,0,0,'Données projet'!$E$11+1,1))</f>
        <v>154.44480170404967</v>
      </c>
      <c r="BJ121" s="62">
        <f t="shared" si="92"/>
        <v>186.45728006007272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1.9895196601282805E-13</v>
      </c>
      <c r="BZ121" s="14">
        <f>BY121*VLOOKUP('Données projet'!$B$12,Paramètres!$A$1:$I$89,3,0)*VLOOKUP('Données projet'!$B$12,Paramètres!$A$1:$I$89,5,0)</f>
        <v>1.3035332813160495E-13</v>
      </c>
      <c r="CA121" s="14">
        <f t="shared" si="93"/>
        <v>1.8987770485018903E-12</v>
      </c>
      <c r="CB121" s="22">
        <f t="shared" si="64"/>
        <v>3.5340687393033375E-12</v>
      </c>
      <c r="CC121" s="62">
        <f t="shared" si="65"/>
        <v>293.33333333333684</v>
      </c>
      <c r="CD121" s="62">
        <f ca="1">AVERAGE(OFFSET($CC$3,0,0,'Données projet'!$E$12+1,1))-AVERAGE(OFFSET($H$3,0,0,'Données projet'!$E$12+1,1))</f>
        <v>154.44480170404967</v>
      </c>
      <c r="CE121" s="62">
        <f t="shared" si="94"/>
        <v>186.45728006007272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9">
        <f t="shared" si="56"/>
        <v>438.57782077914567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1.9508661353029313E-13</v>
      </c>
      <c r="P122" s="14">
        <f t="shared" si="87"/>
        <v>2.711421636700695E-12</v>
      </c>
      <c r="Q122" s="22">
        <f t="shared" si="107"/>
        <v>5.0621685358189711E-12</v>
      </c>
      <c r="R122" s="62">
        <f t="shared" si="55"/>
        <v>293.33333333333837</v>
      </c>
      <c r="S122" s="62">
        <f ca="1">AVERAGE(OFFSET($R$3,0,0,'Données projet'!$E$9+1,1))-AVERAGE(OFFSET($H$3,0,0,'Données projet'!$E$9+1,1))</f>
        <v>178.42783874015521</v>
      </c>
      <c r="T122" s="62">
        <f t="shared" si="88"/>
        <v>140.03904900962556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0.15062671598092478</v>
      </c>
      <c r="AB122" s="23">
        <f>EXP(-LN(2)/2)*AB121+(1-EXP(-LN(2)/2))/(LN(2)/2)*V122*Y122*VLOOKUP('Données projet'!$B$9,Paramètres!$A$1:$I$89,3,0)*0.475*44/12</f>
        <v>2.7610420581757896E-14</v>
      </c>
      <c r="AC122" s="24">
        <f t="shared" si="57"/>
        <v>0.1506267159809524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216.16876563248064</v>
      </c>
      <c r="AO122" s="62">
        <f t="shared" si="90"/>
        <v>137.55906339137317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0.19596353635947833</v>
      </c>
      <c r="AW122" s="23">
        <f>EXP(-LN(2)/2)*AW121+(1-EXP(-LN(2)/2))/(LN(2)/2)*AQ122*AT122*VLOOKUP('Données projet'!$B$10,Paramètres!$A$1:$I$89,3,0)*0.475*44/12</f>
        <v>1.7689488399415975E-13</v>
      </c>
      <c r="AX122" s="23">
        <f t="shared" si="60"/>
        <v>0.19596353635965522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1.9895196601282805E-13</v>
      </c>
      <c r="BE122" s="14">
        <f>BD122*VLOOKUP('Données projet'!$B$11,Paramètres!$A$1:$I$89,3,0)*VLOOKUP('Données projet'!$B$11,Paramètres!$A$1:$I$89,5,0)</f>
        <v>1.3035332813160495E-13</v>
      </c>
      <c r="BF122" s="14">
        <f t="shared" si="91"/>
        <v>1.8987770485018903E-12</v>
      </c>
      <c r="BG122" s="22">
        <f t="shared" si="61"/>
        <v>3.5340687393033375E-12</v>
      </c>
      <c r="BH122" s="62">
        <f t="shared" si="62"/>
        <v>293.33333333333684</v>
      </c>
      <c r="BI122" s="62">
        <f ca="1">AVERAGE(OFFSET($BH$3,0,0,'Données projet'!$E$11+1,1))-AVERAGE(OFFSET($H$3,0,0,'Données projet'!$E$11+1,1))</f>
        <v>154.44480170404967</v>
      </c>
      <c r="BJ122" s="62">
        <f t="shared" si="92"/>
        <v>186.45728006007272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1.9895196601282805E-13</v>
      </c>
      <c r="BZ122" s="14">
        <f>BY122*VLOOKUP('Données projet'!$B$12,Paramètres!$A$1:$I$89,3,0)*VLOOKUP('Données projet'!$B$12,Paramètres!$A$1:$I$89,5,0)</f>
        <v>1.3035332813160495E-13</v>
      </c>
      <c r="CA122" s="14">
        <f t="shared" si="93"/>
        <v>1.8987770485018903E-12</v>
      </c>
      <c r="CB122" s="22">
        <f t="shared" si="64"/>
        <v>3.5340687393033375E-12</v>
      </c>
      <c r="CC122" s="62">
        <f t="shared" si="65"/>
        <v>293.33333333333684</v>
      </c>
      <c r="CD122" s="62">
        <f ca="1">AVERAGE(OFFSET($CC$3,0,0,'Données projet'!$E$12+1,1))-AVERAGE(OFFSET($H$3,0,0,'Données projet'!$E$12+1,1))</f>
        <v>154.44480170404967</v>
      </c>
      <c r="CE122" s="62">
        <f t="shared" si="94"/>
        <v>186.45728006007272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9">
        <f t="shared" si="56"/>
        <v>439.76686605129635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1.9508661353029313E-13</v>
      </c>
      <c r="P123" s="14">
        <f t="shared" si="87"/>
        <v>2.711421636700695E-12</v>
      </c>
      <c r="Q123" s="22">
        <f t="shared" si="107"/>
        <v>5.0621685358189711E-12</v>
      </c>
      <c r="R123" s="62">
        <f t="shared" si="55"/>
        <v>293.33333333333837</v>
      </c>
      <c r="S123" s="62">
        <f ca="1">AVERAGE(OFFSET($R$3,0,0,'Données projet'!$E$9+1,1))-AVERAGE(OFFSET($H$3,0,0,'Données projet'!$E$9+1,1))</f>
        <v>178.42783874015521</v>
      </c>
      <c r="T123" s="62">
        <f t="shared" si="88"/>
        <v>140.03904900962556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0.14650782051131167</v>
      </c>
      <c r="AB123" s="23">
        <f>EXP(-LN(2)/2)*AB122+(1-EXP(-LN(2)/2))/(LN(2)/2)*V123*Y123*VLOOKUP('Données projet'!$B$9,Paramètres!$A$1:$I$89,3,0)*0.475*44/12</f>
        <v>1.9523515624773631E-14</v>
      </c>
      <c r="AC123" s="24">
        <f t="shared" si="57"/>
        <v>0.14650782051133118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216.16876563248064</v>
      </c>
      <c r="AO123" s="62">
        <f t="shared" si="90"/>
        <v>137.55906339137317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0.1906049031524539</v>
      </c>
      <c r="AW123" s="23">
        <f>EXP(-LN(2)/2)*AW122+(1-EXP(-LN(2)/2))/(LN(2)/2)*AQ123*AT123*VLOOKUP('Données projet'!$B$10,Paramètres!$A$1:$I$89,3,0)*0.475*44/12</f>
        <v>1.2508357202947802E-13</v>
      </c>
      <c r="AX123" s="23">
        <f t="shared" si="60"/>
        <v>0.190604903152579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1.9895196601282805E-13</v>
      </c>
      <c r="BE123" s="14">
        <f>BD123*VLOOKUP('Données projet'!$B$11,Paramètres!$A$1:$I$89,3,0)*VLOOKUP('Données projet'!$B$11,Paramètres!$A$1:$I$89,5,0)</f>
        <v>1.3035332813160495E-13</v>
      </c>
      <c r="BF123" s="14">
        <f t="shared" si="91"/>
        <v>1.8987770485018903E-12</v>
      </c>
      <c r="BG123" s="22">
        <f t="shared" si="61"/>
        <v>3.5340687393033375E-12</v>
      </c>
      <c r="BH123" s="62">
        <f t="shared" si="62"/>
        <v>293.33333333333684</v>
      </c>
      <c r="BI123" s="62">
        <f ca="1">AVERAGE(OFFSET($BH$3,0,0,'Données projet'!$E$11+1,1))-AVERAGE(OFFSET($H$3,0,0,'Données projet'!$E$11+1,1))</f>
        <v>154.44480170404967</v>
      </c>
      <c r="BJ123" s="62">
        <f t="shared" si="92"/>
        <v>186.45728006007272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1.9895196601282805E-13</v>
      </c>
      <c r="BZ123" s="14">
        <f>BY123*VLOOKUP('Données projet'!$B$12,Paramètres!$A$1:$I$89,3,0)*VLOOKUP('Données projet'!$B$12,Paramètres!$A$1:$I$89,5,0)</f>
        <v>1.3035332813160495E-13</v>
      </c>
      <c r="CA123" s="14">
        <f t="shared" si="93"/>
        <v>1.8987770485018903E-12</v>
      </c>
      <c r="CB123" s="22">
        <f t="shared" si="64"/>
        <v>3.5340687393033375E-12</v>
      </c>
      <c r="CC123" s="62">
        <f t="shared" si="65"/>
        <v>293.33333333333684</v>
      </c>
      <c r="CD123" s="62">
        <f ca="1">AVERAGE(OFFSET($CC$3,0,0,'Données projet'!$E$12+1,1))-AVERAGE(OFFSET($H$3,0,0,'Données projet'!$E$12+1,1))</f>
        <v>154.44480170404967</v>
      </c>
      <c r="CE123" s="62">
        <f t="shared" si="94"/>
        <v>186.45728006007272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9">
        <f t="shared" si="56"/>
        <v>440.95568048018276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1.9508661353029313E-13</v>
      </c>
      <c r="P124" s="14">
        <f t="shared" si="87"/>
        <v>2.711421636700695E-12</v>
      </c>
      <c r="Q124" s="22">
        <f t="shared" si="107"/>
        <v>5.0621685358189711E-12</v>
      </c>
      <c r="R124" s="62">
        <f t="shared" si="55"/>
        <v>293.33333333333837</v>
      </c>
      <c r="S124" s="62">
        <f ca="1">AVERAGE(OFFSET($R$3,0,0,'Données projet'!$E$9+1,1))-AVERAGE(OFFSET($H$3,0,0,'Données projet'!$E$9+1,1))</f>
        <v>178.42783874015521</v>
      </c>
      <c r="T124" s="62">
        <f t="shared" si="88"/>
        <v>140.03904900962556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0.14250155645491841</v>
      </c>
      <c r="AB124" s="23">
        <f>EXP(-LN(2)/2)*AB123+(1-EXP(-LN(2)/2))/(LN(2)/2)*V124*Y124*VLOOKUP('Données projet'!$B$9,Paramètres!$A$1:$I$89,3,0)*0.475*44/12</f>
        <v>1.380521029087895E-14</v>
      </c>
      <c r="AC124" s="24">
        <f t="shared" si="57"/>
        <v>0.1425015564549322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216.16876563248064</v>
      </c>
      <c r="AO124" s="62">
        <f t="shared" si="90"/>
        <v>137.55906339137317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0.18539280205227382</v>
      </c>
      <c r="AW124" s="23">
        <f>EXP(-LN(2)/2)*AW123+(1-EXP(-LN(2)/2))/(LN(2)/2)*AQ124*AT124*VLOOKUP('Données projet'!$B$10,Paramètres!$A$1:$I$89,3,0)*0.475*44/12</f>
        <v>8.8447441997079875E-14</v>
      </c>
      <c r="AX124" s="23">
        <f t="shared" si="60"/>
        <v>0.18539280205236228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1.9895196601282805E-13</v>
      </c>
      <c r="BE124" s="14">
        <f>BD124*VLOOKUP('Données projet'!$B$11,Paramètres!$A$1:$I$89,3,0)*VLOOKUP('Données projet'!$B$11,Paramètres!$A$1:$I$89,5,0)</f>
        <v>1.3035332813160495E-13</v>
      </c>
      <c r="BF124" s="14">
        <f t="shared" si="91"/>
        <v>1.8987770485018903E-12</v>
      </c>
      <c r="BG124" s="22">
        <f t="shared" si="61"/>
        <v>3.5340687393033375E-12</v>
      </c>
      <c r="BH124" s="62">
        <f t="shared" si="62"/>
        <v>293.33333333333684</v>
      </c>
      <c r="BI124" s="62">
        <f ca="1">AVERAGE(OFFSET($BH$3,0,0,'Données projet'!$E$11+1,1))-AVERAGE(OFFSET($H$3,0,0,'Données projet'!$E$11+1,1))</f>
        <v>154.44480170404967</v>
      </c>
      <c r="BJ124" s="62">
        <f t="shared" si="92"/>
        <v>186.45728006007272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1.9895196601282805E-13</v>
      </c>
      <c r="BZ124" s="14">
        <f>BY124*VLOOKUP('Données projet'!$B$12,Paramètres!$A$1:$I$89,3,0)*VLOOKUP('Données projet'!$B$12,Paramètres!$A$1:$I$89,5,0)</f>
        <v>1.3035332813160495E-13</v>
      </c>
      <c r="CA124" s="14">
        <f t="shared" si="93"/>
        <v>1.8987770485018903E-12</v>
      </c>
      <c r="CB124" s="22">
        <f t="shared" si="64"/>
        <v>3.5340687393033375E-12</v>
      </c>
      <c r="CC124" s="62">
        <f t="shared" si="65"/>
        <v>293.33333333333684</v>
      </c>
      <c r="CD124" s="62">
        <f ca="1">AVERAGE(OFFSET($CC$3,0,0,'Données projet'!$E$12+1,1))-AVERAGE(OFFSET($H$3,0,0,'Données projet'!$E$12+1,1))</f>
        <v>154.44480170404967</v>
      </c>
      <c r="CE124" s="62">
        <f t="shared" si="94"/>
        <v>186.45728006007272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9">
        <f t="shared" si="56"/>
        <v>442.14426619469248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1.9508661353029313E-13</v>
      </c>
      <c r="P125" s="14">
        <f t="shared" si="87"/>
        <v>2.711421636700695E-12</v>
      </c>
      <c r="Q125" s="22">
        <f t="shared" si="107"/>
        <v>5.0621685358189711E-12</v>
      </c>
      <c r="R125" s="62">
        <f t="shared" si="55"/>
        <v>293.33333333333837</v>
      </c>
      <c r="S125" s="62">
        <f ca="1">AVERAGE(OFFSET($R$3,0,0,'Données projet'!$E$9+1,1))-AVERAGE(OFFSET($H$3,0,0,'Données projet'!$E$9+1,1))</f>
        <v>178.42783874015521</v>
      </c>
      <c r="T125" s="62">
        <f t="shared" si="88"/>
        <v>140.03904900962556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0.1386048438998275</v>
      </c>
      <c r="AB125" s="23">
        <f>EXP(-LN(2)/2)*AB124+(1-EXP(-LN(2)/2))/(LN(2)/2)*V125*Y125*VLOOKUP('Données projet'!$B$9,Paramètres!$A$1:$I$89,3,0)*0.475*44/12</f>
        <v>9.7617578123868169E-15</v>
      </c>
      <c r="AC125" s="24">
        <f t="shared" si="57"/>
        <v>0.13860484389983727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216.16876563248064</v>
      </c>
      <c r="AO125" s="62">
        <f t="shared" si="90"/>
        <v>137.55906339137317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0.18032322613077065</v>
      </c>
      <c r="AW125" s="23">
        <f>EXP(-LN(2)/2)*AW124+(1-EXP(-LN(2)/2))/(LN(2)/2)*AQ125*AT125*VLOOKUP('Données projet'!$B$10,Paramètres!$A$1:$I$89,3,0)*0.475*44/12</f>
        <v>6.2541786014739012E-14</v>
      </c>
      <c r="AX125" s="23">
        <f t="shared" si="60"/>
        <v>0.18032322613083318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1.9895196601282805E-13</v>
      </c>
      <c r="BE125" s="14">
        <f>BD125*VLOOKUP('Données projet'!$B$11,Paramètres!$A$1:$I$89,3,0)*VLOOKUP('Données projet'!$B$11,Paramètres!$A$1:$I$89,5,0)</f>
        <v>1.3035332813160495E-13</v>
      </c>
      <c r="BF125" s="14">
        <f t="shared" si="91"/>
        <v>1.8987770485018903E-12</v>
      </c>
      <c r="BG125" s="22">
        <f t="shared" si="61"/>
        <v>3.5340687393033375E-12</v>
      </c>
      <c r="BH125" s="62">
        <f t="shared" si="62"/>
        <v>293.33333333333684</v>
      </c>
      <c r="BI125" s="62">
        <f ca="1">AVERAGE(OFFSET($BH$3,0,0,'Données projet'!$E$11+1,1))-AVERAGE(OFFSET($H$3,0,0,'Données projet'!$E$11+1,1))</f>
        <v>154.44480170404967</v>
      </c>
      <c r="BJ125" s="62">
        <f t="shared" si="92"/>
        <v>186.45728006007272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1.9895196601282805E-13</v>
      </c>
      <c r="BZ125" s="14">
        <f>BY125*VLOOKUP('Données projet'!$B$12,Paramètres!$A$1:$I$89,3,0)*VLOOKUP('Données projet'!$B$12,Paramètres!$A$1:$I$89,5,0)</f>
        <v>1.3035332813160495E-13</v>
      </c>
      <c r="CA125" s="14">
        <f t="shared" si="93"/>
        <v>1.8987770485018903E-12</v>
      </c>
      <c r="CB125" s="22">
        <f t="shared" si="64"/>
        <v>3.5340687393033375E-12</v>
      </c>
      <c r="CC125" s="62">
        <f t="shared" si="65"/>
        <v>293.33333333333684</v>
      </c>
      <c r="CD125" s="62">
        <f ca="1">AVERAGE(OFFSET($CC$3,0,0,'Données projet'!$E$12+1,1))-AVERAGE(OFFSET($H$3,0,0,'Données projet'!$E$12+1,1))</f>
        <v>154.44480170404967</v>
      </c>
      <c r="CE125" s="62">
        <f t="shared" si="94"/>
        <v>186.45728006007272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9">
        <f t="shared" si="56"/>
        <v>443.33262528679836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1.9508661353029313E-13</v>
      </c>
      <c r="P126" s="14">
        <f t="shared" si="87"/>
        <v>2.711421636700695E-12</v>
      </c>
      <c r="Q126" s="22">
        <f t="shared" si="107"/>
        <v>5.0621685358189711E-12</v>
      </c>
      <c r="R126" s="62">
        <f t="shared" si="55"/>
        <v>293.33333333333837</v>
      </c>
      <c r="S126" s="62">
        <f ca="1">AVERAGE(OFFSET($R$3,0,0,'Données projet'!$E$9+1,1))-AVERAGE(OFFSET($H$3,0,0,'Données projet'!$E$9+1,1))</f>
        <v>178.42783874015521</v>
      </c>
      <c r="T126" s="62">
        <f t="shared" si="88"/>
        <v>140.03904900962556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0.13481468715447475</v>
      </c>
      <c r="AB126" s="23">
        <f>EXP(-LN(2)/2)*AB125+(1-EXP(-LN(2)/2))/(LN(2)/2)*V126*Y126*VLOOKUP('Données projet'!$B$9,Paramètres!$A$1:$I$89,3,0)*0.475*44/12</f>
        <v>6.9026051454394764E-15</v>
      </c>
      <c r="AC126" s="24">
        <f t="shared" si="57"/>
        <v>0.13481468715448167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216.16876563248064</v>
      </c>
      <c r="AO126" s="62">
        <f t="shared" si="90"/>
        <v>137.55906339137317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0.17539227802943841</v>
      </c>
      <c r="AW126" s="23">
        <f>EXP(-LN(2)/2)*AW125+(1-EXP(-LN(2)/2))/(LN(2)/2)*AQ126*AT126*VLOOKUP('Données projet'!$B$10,Paramètres!$A$1:$I$89,3,0)*0.475*44/12</f>
        <v>4.4223720998539937E-14</v>
      </c>
      <c r="AX126" s="23">
        <f t="shared" si="60"/>
        <v>0.17539227802948262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1.9895196601282805E-13</v>
      </c>
      <c r="BE126" s="14">
        <f>BD126*VLOOKUP('Données projet'!$B$11,Paramètres!$A$1:$I$89,3,0)*VLOOKUP('Données projet'!$B$11,Paramètres!$A$1:$I$89,5,0)</f>
        <v>1.3035332813160495E-13</v>
      </c>
      <c r="BF126" s="14">
        <f t="shared" si="91"/>
        <v>1.8987770485018903E-12</v>
      </c>
      <c r="BG126" s="22">
        <f t="shared" si="61"/>
        <v>3.5340687393033375E-12</v>
      </c>
      <c r="BH126" s="62">
        <f t="shared" si="62"/>
        <v>293.33333333333684</v>
      </c>
      <c r="BI126" s="62">
        <f ca="1">AVERAGE(OFFSET($BH$3,0,0,'Données projet'!$E$11+1,1))-AVERAGE(OFFSET($H$3,0,0,'Données projet'!$E$11+1,1))</f>
        <v>154.44480170404967</v>
      </c>
      <c r="BJ126" s="62">
        <f t="shared" si="92"/>
        <v>186.45728006007272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1.9895196601282805E-13</v>
      </c>
      <c r="BZ126" s="14">
        <f>BY126*VLOOKUP('Données projet'!$B$12,Paramètres!$A$1:$I$89,3,0)*VLOOKUP('Données projet'!$B$12,Paramètres!$A$1:$I$89,5,0)</f>
        <v>1.3035332813160495E-13</v>
      </c>
      <c r="CA126" s="14">
        <f t="shared" si="93"/>
        <v>1.8987770485018903E-12</v>
      </c>
      <c r="CB126" s="22">
        <f t="shared" si="64"/>
        <v>3.5340687393033375E-12</v>
      </c>
      <c r="CC126" s="62">
        <f t="shared" si="65"/>
        <v>293.33333333333684</v>
      </c>
      <c r="CD126" s="62">
        <f ca="1">AVERAGE(OFFSET($CC$3,0,0,'Données projet'!$E$12+1,1))-AVERAGE(OFFSET($H$3,0,0,'Données projet'!$E$12+1,1))</f>
        <v>154.44480170404967</v>
      </c>
      <c r="CE126" s="62">
        <f t="shared" si="94"/>
        <v>186.45728006007272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9">
        <f t="shared" si="56"/>
        <v>444.52075981249368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1.9508661353029313E-13</v>
      </c>
      <c r="P127" s="14">
        <f t="shared" si="87"/>
        <v>2.711421636700695E-12</v>
      </c>
      <c r="Q127" s="22">
        <f t="shared" si="107"/>
        <v>5.0621685358189711E-12</v>
      </c>
      <c r="R127" s="62">
        <f t="shared" si="55"/>
        <v>293.33333333333837</v>
      </c>
      <c r="S127" s="62">
        <f ca="1">AVERAGE(OFFSET($R$3,0,0,'Données projet'!$E$9+1,1))-AVERAGE(OFFSET($H$3,0,0,'Données projet'!$E$9+1,1))</f>
        <v>178.42783874015521</v>
      </c>
      <c r="T127" s="62">
        <f t="shared" si="88"/>
        <v>140.03904900962556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0.13112817244463937</v>
      </c>
      <c r="AB127" s="23">
        <f>EXP(-LN(2)/2)*AB126+(1-EXP(-LN(2)/2))/(LN(2)/2)*V127*Y127*VLOOKUP('Données projet'!$B$9,Paramètres!$A$1:$I$89,3,0)*0.475*44/12</f>
        <v>4.8808789061934092E-15</v>
      </c>
      <c r="AC127" s="24">
        <f t="shared" si="57"/>
        <v>0.13112817244464425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216.16876563248064</v>
      </c>
      <c r="AO127" s="62">
        <f t="shared" si="90"/>
        <v>137.55906339137317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0.17059616696324437</v>
      </c>
      <c r="AW127" s="23">
        <f>EXP(-LN(2)/2)*AW126+(1-EXP(-LN(2)/2))/(LN(2)/2)*AQ127*AT127*VLOOKUP('Données projet'!$B$10,Paramètres!$A$1:$I$89,3,0)*0.475*44/12</f>
        <v>3.1270893007369506E-14</v>
      </c>
      <c r="AX127" s="23">
        <f t="shared" si="60"/>
        <v>0.17059616696327565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1.9895196601282805E-13</v>
      </c>
      <c r="BE127" s="14">
        <f>BD127*VLOOKUP('Données projet'!$B$11,Paramètres!$A$1:$I$89,3,0)*VLOOKUP('Données projet'!$B$11,Paramètres!$A$1:$I$89,5,0)</f>
        <v>1.3035332813160495E-13</v>
      </c>
      <c r="BF127" s="14">
        <f t="shared" si="91"/>
        <v>1.8987770485018903E-12</v>
      </c>
      <c r="BG127" s="22">
        <f t="shared" si="61"/>
        <v>3.5340687393033375E-12</v>
      </c>
      <c r="BH127" s="62">
        <f t="shared" si="62"/>
        <v>293.33333333333684</v>
      </c>
      <c r="BI127" s="62">
        <f ca="1">AVERAGE(OFFSET($BH$3,0,0,'Données projet'!$E$11+1,1))-AVERAGE(OFFSET($H$3,0,0,'Données projet'!$E$11+1,1))</f>
        <v>154.44480170404967</v>
      </c>
      <c r="BJ127" s="62">
        <f t="shared" si="92"/>
        <v>186.45728006007272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1.9895196601282805E-13</v>
      </c>
      <c r="BZ127" s="14">
        <f>BY127*VLOOKUP('Données projet'!$B$12,Paramètres!$A$1:$I$89,3,0)*VLOOKUP('Données projet'!$B$12,Paramètres!$A$1:$I$89,5,0)</f>
        <v>1.3035332813160495E-13</v>
      </c>
      <c r="CA127" s="14">
        <f t="shared" si="93"/>
        <v>1.8987770485018903E-12</v>
      </c>
      <c r="CB127" s="22">
        <f t="shared" si="64"/>
        <v>3.5340687393033375E-12</v>
      </c>
      <c r="CC127" s="62">
        <f t="shared" si="65"/>
        <v>293.33333333333684</v>
      </c>
      <c r="CD127" s="62">
        <f ca="1">AVERAGE(OFFSET($CC$3,0,0,'Données projet'!$E$12+1,1))-AVERAGE(OFFSET($H$3,0,0,'Données projet'!$E$12+1,1))</f>
        <v>154.44480170404967</v>
      </c>
      <c r="CE127" s="62">
        <f t="shared" si="94"/>
        <v>186.45728006007272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9">
        <f t="shared" si="56"/>
        <v>445.70867179269578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1.9508661353029313E-13</v>
      </c>
      <c r="P128" s="14">
        <f t="shared" si="87"/>
        <v>2.711421636700695E-12</v>
      </c>
      <c r="Q128" s="22">
        <f t="shared" si="107"/>
        <v>5.0621685358189711E-12</v>
      </c>
      <c r="R128" s="62">
        <f t="shared" si="55"/>
        <v>293.33333333333837</v>
      </c>
      <c r="S128" s="62">
        <f ca="1">AVERAGE(OFFSET($R$3,0,0,'Données projet'!$E$9+1,1))-AVERAGE(OFFSET($H$3,0,0,'Données projet'!$E$9+1,1))</f>
        <v>178.42783874015521</v>
      </c>
      <c r="T128" s="62">
        <f t="shared" si="88"/>
        <v>140.03904900962556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0.12754246567340982</v>
      </c>
      <c r="AB128" s="23">
        <f>EXP(-LN(2)/2)*AB127+(1-EXP(-LN(2)/2))/(LN(2)/2)*V128*Y128*VLOOKUP('Données projet'!$B$9,Paramètres!$A$1:$I$89,3,0)*0.475*44/12</f>
        <v>3.4513025727197386E-15</v>
      </c>
      <c r="AC128" s="24">
        <f t="shared" si="57"/>
        <v>0.12754246567341326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216.16876563248064</v>
      </c>
      <c r="AO128" s="62">
        <f t="shared" si="90"/>
        <v>137.55906339137317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0.16593120580637194</v>
      </c>
      <c r="AW128" s="23">
        <f>EXP(-LN(2)/2)*AW127+(1-EXP(-LN(2)/2))/(LN(2)/2)*AQ128*AT128*VLOOKUP('Données projet'!$B$10,Paramètres!$A$1:$I$89,3,0)*0.475*44/12</f>
        <v>2.2111860499269969E-14</v>
      </c>
      <c r="AX128" s="23">
        <f t="shared" si="60"/>
        <v>0.16593120580639406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1.9895196601282805E-13</v>
      </c>
      <c r="BE128" s="14">
        <f>BD128*VLOOKUP('Données projet'!$B$11,Paramètres!$A$1:$I$89,3,0)*VLOOKUP('Données projet'!$B$11,Paramètres!$A$1:$I$89,5,0)</f>
        <v>1.3035332813160495E-13</v>
      </c>
      <c r="BF128" s="14">
        <f t="shared" si="91"/>
        <v>1.8987770485018903E-12</v>
      </c>
      <c r="BG128" s="22">
        <f t="shared" si="61"/>
        <v>3.5340687393033375E-12</v>
      </c>
      <c r="BH128" s="62">
        <f t="shared" si="62"/>
        <v>293.33333333333684</v>
      </c>
      <c r="BI128" s="62">
        <f ca="1">AVERAGE(OFFSET($BH$3,0,0,'Données projet'!$E$11+1,1))-AVERAGE(OFFSET($H$3,0,0,'Données projet'!$E$11+1,1))</f>
        <v>154.44480170404967</v>
      </c>
      <c r="BJ128" s="62">
        <f t="shared" si="92"/>
        <v>186.45728006007272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1.9895196601282805E-13</v>
      </c>
      <c r="BZ128" s="14">
        <f>BY128*VLOOKUP('Données projet'!$B$12,Paramètres!$A$1:$I$89,3,0)*VLOOKUP('Données projet'!$B$12,Paramètres!$A$1:$I$89,5,0)</f>
        <v>1.3035332813160495E-13</v>
      </c>
      <c r="CA128" s="14">
        <f t="shared" si="93"/>
        <v>1.8987770485018903E-12</v>
      </c>
      <c r="CB128" s="22">
        <f t="shared" si="64"/>
        <v>3.5340687393033375E-12</v>
      </c>
      <c r="CC128" s="62">
        <f t="shared" si="65"/>
        <v>293.33333333333684</v>
      </c>
      <c r="CD128" s="62">
        <f ca="1">AVERAGE(OFFSET($CC$3,0,0,'Données projet'!$E$12+1,1))-AVERAGE(OFFSET($H$3,0,0,'Données projet'!$E$12+1,1))</f>
        <v>154.44480170404967</v>
      </c>
      <c r="CE128" s="62">
        <f t="shared" si="94"/>
        <v>186.45728006007272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9">
        <f t="shared" si="56"/>
        <v>446.89636321412058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1.9508661353029313E-13</v>
      </c>
      <c r="P129" s="14">
        <f t="shared" si="87"/>
        <v>2.711421636700695E-12</v>
      </c>
      <c r="Q129" s="22">
        <f t="shared" si="107"/>
        <v>5.0621685358189711E-12</v>
      </c>
      <c r="R129" s="62">
        <f t="shared" si="55"/>
        <v>293.33333333333837</v>
      </c>
      <c r="S129" s="62">
        <f ca="1">AVERAGE(OFFSET($R$3,0,0,'Données projet'!$E$9+1,1))-AVERAGE(OFFSET($H$3,0,0,'Données projet'!$E$9+1,1))</f>
        <v>178.42783874015521</v>
      </c>
      <c r="T129" s="62">
        <f t="shared" si="88"/>
        <v>140.03904900962556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0.12405481024240367</v>
      </c>
      <c r="AB129" s="23">
        <f>EXP(-LN(2)/2)*AB128+(1-EXP(-LN(2)/2))/(LN(2)/2)*V129*Y129*VLOOKUP('Données projet'!$B$9,Paramètres!$A$1:$I$89,3,0)*0.475*44/12</f>
        <v>2.440439453096705E-15</v>
      </c>
      <c r="AC129" s="24">
        <f t="shared" si="57"/>
        <v>0.12405481024240611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216.16876563248064</v>
      </c>
      <c r="AO129" s="62">
        <f t="shared" si="90"/>
        <v>137.55906339137317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0.16139380825765381</v>
      </c>
      <c r="AW129" s="23">
        <f>EXP(-LN(2)/2)*AW128+(1-EXP(-LN(2)/2))/(LN(2)/2)*AQ129*AT129*VLOOKUP('Données projet'!$B$10,Paramètres!$A$1:$I$89,3,0)*0.475*44/12</f>
        <v>1.5635446503684753E-14</v>
      </c>
      <c r="AX129" s="23">
        <f t="shared" si="60"/>
        <v>0.16139380825766944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1.9895196601282805E-13</v>
      </c>
      <c r="BE129" s="14">
        <f>BD129*VLOOKUP('Données projet'!$B$11,Paramètres!$A$1:$I$89,3,0)*VLOOKUP('Données projet'!$B$11,Paramètres!$A$1:$I$89,5,0)</f>
        <v>1.3035332813160495E-13</v>
      </c>
      <c r="BF129" s="14">
        <f t="shared" si="91"/>
        <v>1.8987770485018903E-12</v>
      </c>
      <c r="BG129" s="22">
        <f t="shared" si="61"/>
        <v>3.5340687393033375E-12</v>
      </c>
      <c r="BH129" s="62">
        <f t="shared" si="62"/>
        <v>293.33333333333684</v>
      </c>
      <c r="BI129" s="62">
        <f ca="1">AVERAGE(OFFSET($BH$3,0,0,'Données projet'!$E$11+1,1))-AVERAGE(OFFSET($H$3,0,0,'Données projet'!$E$11+1,1))</f>
        <v>154.44480170404967</v>
      </c>
      <c r="BJ129" s="62">
        <f t="shared" si="92"/>
        <v>186.45728006007272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1.9895196601282805E-13</v>
      </c>
      <c r="BZ129" s="14">
        <f>BY129*VLOOKUP('Données projet'!$B$12,Paramètres!$A$1:$I$89,3,0)*VLOOKUP('Données projet'!$B$12,Paramètres!$A$1:$I$89,5,0)</f>
        <v>1.3035332813160495E-13</v>
      </c>
      <c r="CA129" s="14">
        <f t="shared" si="93"/>
        <v>1.8987770485018903E-12</v>
      </c>
      <c r="CB129" s="22">
        <f t="shared" si="64"/>
        <v>3.5340687393033375E-12</v>
      </c>
      <c r="CC129" s="62">
        <f t="shared" si="65"/>
        <v>293.33333333333684</v>
      </c>
      <c r="CD129" s="62">
        <f ca="1">AVERAGE(OFFSET($CC$3,0,0,'Données projet'!$E$12+1,1))-AVERAGE(OFFSET($H$3,0,0,'Données projet'!$E$12+1,1))</f>
        <v>154.44480170404967</v>
      </c>
      <c r="CE129" s="62">
        <f t="shared" si="94"/>
        <v>186.45728006007272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9">
        <f t="shared" si="56"/>
        <v>448.08383603012737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1.9508661353029313E-13</v>
      </c>
      <c r="P130" s="14">
        <f t="shared" si="87"/>
        <v>2.711421636700695E-12</v>
      </c>
      <c r="Q130" s="22">
        <f t="shared" si="107"/>
        <v>5.0621685358189711E-12</v>
      </c>
      <c r="R130" s="62">
        <f t="shared" si="55"/>
        <v>293.33333333333837</v>
      </c>
      <c r="S130" s="62">
        <f ca="1">AVERAGE(OFFSET($R$3,0,0,'Données projet'!$E$9+1,1))-AVERAGE(OFFSET($H$3,0,0,'Données projet'!$E$9+1,1))</f>
        <v>178.42783874015521</v>
      </c>
      <c r="T130" s="62">
        <f t="shared" si="88"/>
        <v>140.03904900962556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0.1206625249325662</v>
      </c>
      <c r="AB130" s="23">
        <f>EXP(-LN(2)/2)*AB129+(1-EXP(-LN(2)/2))/(LN(2)/2)*V130*Y130*VLOOKUP('Données projet'!$B$9,Paramètres!$A$1:$I$89,3,0)*0.475*44/12</f>
        <v>1.7256512863598697E-15</v>
      </c>
      <c r="AC130" s="24">
        <f t="shared" si="57"/>
        <v>0.12066252493256792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216.16876563248064</v>
      </c>
      <c r="AO130" s="62">
        <f t="shared" si="90"/>
        <v>137.55906339137317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0.15698048608351678</v>
      </c>
      <c r="AW130" s="23">
        <f>EXP(-LN(2)/2)*AW129+(1-EXP(-LN(2)/2))/(LN(2)/2)*AQ130*AT130*VLOOKUP('Données projet'!$B$10,Paramètres!$A$1:$I$89,3,0)*0.475*44/12</f>
        <v>1.1055930249634984E-14</v>
      </c>
      <c r="AX130" s="23">
        <f t="shared" si="60"/>
        <v>0.15698048608352783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1.9895196601282805E-13</v>
      </c>
      <c r="BE130" s="14">
        <f>BD130*VLOOKUP('Données projet'!$B$11,Paramètres!$A$1:$I$89,3,0)*VLOOKUP('Données projet'!$B$11,Paramètres!$A$1:$I$89,5,0)</f>
        <v>1.3035332813160495E-13</v>
      </c>
      <c r="BF130" s="14">
        <f t="shared" si="91"/>
        <v>1.8987770485018903E-12</v>
      </c>
      <c r="BG130" s="22">
        <f t="shared" si="61"/>
        <v>3.5340687393033375E-12</v>
      </c>
      <c r="BH130" s="62">
        <f t="shared" si="62"/>
        <v>293.33333333333684</v>
      </c>
      <c r="BI130" s="62">
        <f ca="1">AVERAGE(OFFSET($BH$3,0,0,'Données projet'!$E$11+1,1))-AVERAGE(OFFSET($H$3,0,0,'Données projet'!$E$11+1,1))</f>
        <v>154.44480170404967</v>
      </c>
      <c r="BJ130" s="62">
        <f t="shared" si="92"/>
        <v>186.45728006007272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1.9895196601282805E-13</v>
      </c>
      <c r="BZ130" s="14">
        <f>BY130*VLOOKUP('Données projet'!$B$12,Paramètres!$A$1:$I$89,3,0)*VLOOKUP('Données projet'!$B$12,Paramètres!$A$1:$I$89,5,0)</f>
        <v>1.3035332813160495E-13</v>
      </c>
      <c r="CA130" s="14">
        <f t="shared" si="93"/>
        <v>1.8987770485018903E-12</v>
      </c>
      <c r="CB130" s="22">
        <f t="shared" si="64"/>
        <v>3.5340687393033375E-12</v>
      </c>
      <c r="CC130" s="62">
        <f t="shared" si="65"/>
        <v>293.33333333333684</v>
      </c>
      <c r="CD130" s="62">
        <f ca="1">AVERAGE(OFFSET($CC$3,0,0,'Données projet'!$E$12+1,1))-AVERAGE(OFFSET($H$3,0,0,'Données projet'!$E$12+1,1))</f>
        <v>154.44480170404967</v>
      </c>
      <c r="CE130" s="62">
        <f t="shared" si="94"/>
        <v>186.45728006007272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9">
        <f t="shared" si="56"/>
        <v>449.27109216153792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1.9508661353029313E-13</v>
      </c>
      <c r="P131" s="14">
        <f t="shared" si="87"/>
        <v>2.711421636700695E-12</v>
      </c>
      <c r="Q131" s="22">
        <f t="shared" ref="Q131:Q153" si="108">(O131+P131)*0.475*44/12</f>
        <v>5.0621685358189711E-12</v>
      </c>
      <c r="R131" s="62">
        <f t="shared" ref="R131:R194" si="109">Q131+(I131+J131)*44/12</f>
        <v>293.33333333333837</v>
      </c>
      <c r="S131" s="62">
        <f ca="1">AVERAGE(OFFSET($R$3,0,0,'Données projet'!$E$9+1,1))-AVERAGE(OFFSET($H$3,0,0,'Données projet'!$E$9+1,1))</f>
        <v>178.42783874015521</v>
      </c>
      <c r="T131" s="62">
        <f t="shared" si="88"/>
        <v>140.03904900962556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0.11736300184291877</v>
      </c>
      <c r="AB131" s="23">
        <f>EXP(-LN(2)/2)*AB130+(1-EXP(-LN(2)/2))/(LN(2)/2)*V131*Y131*VLOOKUP('Données projet'!$B$9,Paramètres!$A$1:$I$89,3,0)*0.475*44/12</f>
        <v>1.2202197265483527E-15</v>
      </c>
      <c r="AC131" s="24">
        <f t="shared" si="57"/>
        <v>0.11736300184291999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216.16876563248064</v>
      </c>
      <c r="AO131" s="62">
        <f t="shared" si="90"/>
        <v>137.55906339137317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0.15268784643631803</v>
      </c>
      <c r="AW131" s="23">
        <f>EXP(-LN(2)/2)*AW130+(1-EXP(-LN(2)/2))/(LN(2)/2)*AQ131*AT131*VLOOKUP('Données projet'!$B$10,Paramètres!$A$1:$I$89,3,0)*0.475*44/12</f>
        <v>7.8177232518423765E-15</v>
      </c>
      <c r="AX131" s="23">
        <f t="shared" si="60"/>
        <v>0.15268784643632585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1.9895196601282805E-13</v>
      </c>
      <c r="BE131" s="14">
        <f>BD131*VLOOKUP('Données projet'!$B$11,Paramètres!$A$1:$I$89,3,0)*VLOOKUP('Données projet'!$B$11,Paramètres!$A$1:$I$89,5,0)</f>
        <v>1.3035332813160495E-13</v>
      </c>
      <c r="BF131" s="14">
        <f t="shared" si="91"/>
        <v>1.8987770485018903E-12</v>
      </c>
      <c r="BG131" s="22">
        <f t="shared" si="61"/>
        <v>3.5340687393033375E-12</v>
      </c>
      <c r="BH131" s="62">
        <f t="shared" si="62"/>
        <v>293.33333333333684</v>
      </c>
      <c r="BI131" s="62">
        <f ca="1">AVERAGE(OFFSET($BH$3,0,0,'Données projet'!$E$11+1,1))-AVERAGE(OFFSET($H$3,0,0,'Données projet'!$E$11+1,1))</f>
        <v>154.44480170404967</v>
      </c>
      <c r="BJ131" s="62">
        <f t="shared" si="92"/>
        <v>186.45728006007272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1.9895196601282805E-13</v>
      </c>
      <c r="BZ131" s="14">
        <f>BY131*VLOOKUP('Données projet'!$B$12,Paramètres!$A$1:$I$89,3,0)*VLOOKUP('Données projet'!$B$12,Paramètres!$A$1:$I$89,5,0)</f>
        <v>1.3035332813160495E-13</v>
      </c>
      <c r="CA131" s="14">
        <f t="shared" si="93"/>
        <v>1.8987770485018903E-12</v>
      </c>
      <c r="CB131" s="22">
        <f t="shared" si="64"/>
        <v>3.5340687393033375E-12</v>
      </c>
      <c r="CC131" s="62">
        <f t="shared" si="65"/>
        <v>293.33333333333684</v>
      </c>
      <c r="CD131" s="62">
        <f ca="1">AVERAGE(OFFSET($CC$3,0,0,'Données projet'!$E$12+1,1))-AVERAGE(OFFSET($H$3,0,0,'Données projet'!$E$12+1,1))</f>
        <v>154.44480170404967</v>
      </c>
      <c r="CE131" s="62">
        <f t="shared" si="94"/>
        <v>186.45728006007272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9">
        <f t="shared" ref="H132:H195" si="110">(B132+E132+F132)*44/12+(C132+D132)*0.475*44/12</f>
        <v>450.45813349742764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1.9508661353029313E-13</v>
      </c>
      <c r="P132" s="14">
        <f t="shared" si="87"/>
        <v>2.711421636700695E-12</v>
      </c>
      <c r="Q132" s="22">
        <f t="shared" si="108"/>
        <v>5.0621685358189711E-12</v>
      </c>
      <c r="R132" s="62">
        <f t="shared" si="109"/>
        <v>293.33333333333837</v>
      </c>
      <c r="S132" s="62">
        <f ca="1">AVERAGE(OFFSET($R$3,0,0,'Données projet'!$E$9+1,1))-AVERAGE(OFFSET($H$3,0,0,'Données projet'!$E$9+1,1))</f>
        <v>178.42783874015521</v>
      </c>
      <c r="T132" s="62">
        <f t="shared" si="88"/>
        <v>140.03904900962556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0.11415370438567213</v>
      </c>
      <c r="AB132" s="23">
        <f>EXP(-LN(2)/2)*AB131+(1-EXP(-LN(2)/2))/(LN(2)/2)*V132*Y132*VLOOKUP('Données projet'!$B$9,Paramètres!$A$1:$I$89,3,0)*0.475*44/12</f>
        <v>8.6282564317993495E-16</v>
      </c>
      <c r="AC132" s="24">
        <f t="shared" ref="AC132:AC153" si="111">SUM(Z132:AB132)</f>
        <v>0.11415370438567299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216.16876563248064</v>
      </c>
      <c r="AO132" s="62">
        <f t="shared" si="90"/>
        <v>137.55906339137317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0.14851258924601204</v>
      </c>
      <c r="AW132" s="23">
        <f>EXP(-LN(2)/2)*AW131+(1-EXP(-LN(2)/2))/(LN(2)/2)*AQ132*AT132*VLOOKUP('Données projet'!$B$10,Paramètres!$A$1:$I$89,3,0)*0.475*44/12</f>
        <v>5.5279651248174922E-15</v>
      </c>
      <c r="AX132" s="23">
        <f t="shared" ref="AX132:AX153" si="114">SUM(AU132:AW132)</f>
        <v>0.14851258924601757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1.9895196601282805E-13</v>
      </c>
      <c r="BE132" s="14">
        <f>BD132*VLOOKUP('Données projet'!$B$11,Paramètres!$A$1:$I$89,3,0)*VLOOKUP('Données projet'!$B$11,Paramètres!$A$1:$I$89,5,0)</f>
        <v>1.3035332813160495E-13</v>
      </c>
      <c r="BF132" s="14">
        <f t="shared" si="91"/>
        <v>1.8987770485018903E-12</v>
      </c>
      <c r="BG132" s="22">
        <f t="shared" ref="BG132:BG153" si="115">(BE132+BF132)*0.475*44/12</f>
        <v>3.5340687393033375E-12</v>
      </c>
      <c r="BH132" s="62">
        <f t="shared" ref="BH132:BH195" si="116">BG132+(AY132+AZ132)*44/12</f>
        <v>293.33333333333684</v>
      </c>
      <c r="BI132" s="62">
        <f ca="1">AVERAGE(OFFSET($BH$3,0,0,'Données projet'!$E$11+1,1))-AVERAGE(OFFSET($H$3,0,0,'Données projet'!$E$11+1,1))</f>
        <v>154.44480170404967</v>
      </c>
      <c r="BJ132" s="62">
        <f t="shared" si="92"/>
        <v>186.45728006007272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1.9895196601282805E-13</v>
      </c>
      <c r="BZ132" s="14">
        <f>BY132*VLOOKUP('Données projet'!$B$12,Paramètres!$A$1:$I$89,3,0)*VLOOKUP('Données projet'!$B$12,Paramètres!$A$1:$I$89,5,0)</f>
        <v>1.3035332813160495E-13</v>
      </c>
      <c r="CA132" s="14">
        <f t="shared" si="93"/>
        <v>1.8987770485018903E-12</v>
      </c>
      <c r="CB132" s="22">
        <f t="shared" ref="CB132:CB153" si="118">(BZ132+CA132)*0.475*44/12</f>
        <v>3.5340687393033375E-12</v>
      </c>
      <c r="CC132" s="62">
        <f t="shared" ref="CC132:CC195" si="119">CB132+(BT132+BU132)*44/12</f>
        <v>293.33333333333684</v>
      </c>
      <c r="CD132" s="62">
        <f ca="1">AVERAGE(OFFSET($CC$3,0,0,'Données projet'!$E$12+1,1))-AVERAGE(OFFSET($H$3,0,0,'Données projet'!$E$12+1,1))</f>
        <v>154.44480170404967</v>
      </c>
      <c r="CE132" s="62">
        <f t="shared" si="94"/>
        <v>186.45728006007272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9">
        <f t="shared" si="110"/>
        <v>451.64496189589244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1.9508661353029313E-13</v>
      </c>
      <c r="P133" s="14">
        <f t="shared" ref="P133:P196" si="141">EXP(-1.0587+0.8836*LN(O133)+0.284)</f>
        <v>2.711421636700695E-12</v>
      </c>
      <c r="Q133" s="22">
        <f t="shared" si="108"/>
        <v>5.0621685358189711E-12</v>
      </c>
      <c r="R133" s="62">
        <f t="shared" si="109"/>
        <v>293.33333333333837</v>
      </c>
      <c r="S133" s="62">
        <f ca="1">AVERAGE(OFFSET($R$3,0,0,'Données projet'!$E$9+1,1))-AVERAGE(OFFSET($H$3,0,0,'Données projet'!$E$9+1,1))</f>
        <v>178.42783874015521</v>
      </c>
      <c r="T133" s="62">
        <f t="shared" ref="T133:T196" si="142">$T$3</f>
        <v>140.03904900962556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0.11103216533616352</v>
      </c>
      <c r="AB133" s="23">
        <f>EXP(-LN(2)/2)*AB132+(1-EXP(-LN(2)/2))/(LN(2)/2)*V133*Y133*VLOOKUP('Données projet'!$B$9,Paramètres!$A$1:$I$89,3,0)*0.475*44/12</f>
        <v>6.1010986327417645E-16</v>
      </c>
      <c r="AC133" s="24">
        <f t="shared" si="111"/>
        <v>0.11103216533616413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216.16876563248064</v>
      </c>
      <c r="AO133" s="62">
        <f t="shared" ref="AO133:AO196" si="144">$AO$3</f>
        <v>137.55906339137317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0.14445150468314222</v>
      </c>
      <c r="AW133" s="23">
        <f>EXP(-LN(2)/2)*AW132+(1-EXP(-LN(2)/2))/(LN(2)/2)*AQ133*AT133*VLOOKUP('Données projet'!$B$10,Paramètres!$A$1:$I$89,3,0)*0.475*44/12</f>
        <v>3.9088616259211883E-15</v>
      </c>
      <c r="AX133" s="23">
        <f t="shared" si="114"/>
        <v>0.14445150468314613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1.9895196601282805E-13</v>
      </c>
      <c r="BE133" s="14">
        <f>BD133*VLOOKUP('Données projet'!$B$11,Paramètres!$A$1:$I$89,3,0)*VLOOKUP('Données projet'!$B$11,Paramètres!$A$1:$I$89,5,0)</f>
        <v>1.3035332813160495E-13</v>
      </c>
      <c r="BF133" s="14">
        <f t="shared" ref="BF133:BF153" si="145">EXP(-1.0587+0.8836*LN(BE133)+0.284)</f>
        <v>1.8987770485018903E-12</v>
      </c>
      <c r="BG133" s="22">
        <f t="shared" si="115"/>
        <v>3.5340687393033375E-12</v>
      </c>
      <c r="BH133" s="62">
        <f t="shared" si="116"/>
        <v>293.33333333333684</v>
      </c>
      <c r="BI133" s="62">
        <f ca="1">AVERAGE(OFFSET($BH$3,0,0,'Données projet'!$E$11+1,1))-AVERAGE(OFFSET($H$3,0,0,'Données projet'!$E$11+1,1))</f>
        <v>154.44480170404967</v>
      </c>
      <c r="BJ133" s="62">
        <f t="shared" ref="BJ133:BJ196" si="146">$BJ$3</f>
        <v>186.45728006007272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1.9895196601282805E-13</v>
      </c>
      <c r="BZ133" s="14">
        <f>BY133*VLOOKUP('Données projet'!$B$12,Paramètres!$A$1:$I$89,3,0)*VLOOKUP('Données projet'!$B$12,Paramètres!$A$1:$I$89,5,0)</f>
        <v>1.3035332813160495E-13</v>
      </c>
      <c r="CA133" s="14">
        <f t="shared" ref="CA133:CA153" si="147">EXP(-1.0587+0.8836*LN(BZ133)+0.284)</f>
        <v>1.8987770485018903E-12</v>
      </c>
      <c r="CB133" s="22">
        <f t="shared" si="118"/>
        <v>3.5340687393033375E-12</v>
      </c>
      <c r="CC133" s="62">
        <f t="shared" si="119"/>
        <v>293.33333333333684</v>
      </c>
      <c r="CD133" s="62">
        <f ca="1">AVERAGE(OFFSET($CC$3,0,0,'Données projet'!$E$12+1,1))-AVERAGE(OFFSET($H$3,0,0,'Données projet'!$E$12+1,1))</f>
        <v>154.44480170404967</v>
      </c>
      <c r="CE133" s="62">
        <f t="shared" ref="CE133:CE196" si="148">$CE$3</f>
        <v>186.45728006007272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9">
        <f t="shared" si="110"/>
        <v>452.83157918479128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1.9508661353029313E-13</v>
      </c>
      <c r="P134" s="14">
        <f t="shared" si="141"/>
        <v>2.711421636700695E-12</v>
      </c>
      <c r="Q134" s="22">
        <f t="shared" si="108"/>
        <v>5.0621685358189711E-12</v>
      </c>
      <c r="R134" s="62">
        <f t="shared" si="109"/>
        <v>293.33333333333837</v>
      </c>
      <c r="S134" s="62">
        <f ca="1">AVERAGE(OFFSET($R$3,0,0,'Données projet'!$E$9+1,1))-AVERAGE(OFFSET($H$3,0,0,'Données projet'!$E$9+1,1))</f>
        <v>178.42783874015521</v>
      </c>
      <c r="T134" s="62">
        <f t="shared" si="142"/>
        <v>140.03904900962556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0.10799598493611831</v>
      </c>
      <c r="AB134" s="23">
        <f>EXP(-LN(2)/2)*AB133+(1-EXP(-LN(2)/2))/(LN(2)/2)*V134*Y134*VLOOKUP('Données projet'!$B$9,Paramètres!$A$1:$I$89,3,0)*0.475*44/12</f>
        <v>4.3141282158996752E-16</v>
      </c>
      <c r="AC134" s="24">
        <f t="shared" si="111"/>
        <v>0.10799598493611874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216.16876563248064</v>
      </c>
      <c r="AO134" s="62">
        <f t="shared" si="144"/>
        <v>137.55906339137317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0.14050147069120722</v>
      </c>
      <c r="AW134" s="23">
        <f>EXP(-LN(2)/2)*AW133+(1-EXP(-LN(2)/2))/(LN(2)/2)*AQ134*AT134*VLOOKUP('Données projet'!$B$10,Paramètres!$A$1:$I$89,3,0)*0.475*44/12</f>
        <v>2.7639825624087461E-15</v>
      </c>
      <c r="AX134" s="23">
        <f t="shared" si="114"/>
        <v>0.14050147069121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1.9895196601282805E-13</v>
      </c>
      <c r="BE134" s="14">
        <f>BD134*VLOOKUP('Données projet'!$B$11,Paramètres!$A$1:$I$89,3,0)*VLOOKUP('Données projet'!$B$11,Paramètres!$A$1:$I$89,5,0)</f>
        <v>1.3035332813160495E-13</v>
      </c>
      <c r="BF134" s="14">
        <f t="shared" si="145"/>
        <v>1.8987770485018903E-12</v>
      </c>
      <c r="BG134" s="22">
        <f t="shared" si="115"/>
        <v>3.5340687393033375E-12</v>
      </c>
      <c r="BH134" s="62">
        <f t="shared" si="116"/>
        <v>293.33333333333684</v>
      </c>
      <c r="BI134" s="62">
        <f ca="1">AVERAGE(OFFSET($BH$3,0,0,'Données projet'!$E$11+1,1))-AVERAGE(OFFSET($H$3,0,0,'Données projet'!$E$11+1,1))</f>
        <v>154.44480170404967</v>
      </c>
      <c r="BJ134" s="62">
        <f t="shared" si="146"/>
        <v>186.45728006007272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1.9895196601282805E-13</v>
      </c>
      <c r="BZ134" s="14">
        <f>BY134*VLOOKUP('Données projet'!$B$12,Paramètres!$A$1:$I$89,3,0)*VLOOKUP('Données projet'!$B$12,Paramètres!$A$1:$I$89,5,0)</f>
        <v>1.3035332813160495E-13</v>
      </c>
      <c r="CA134" s="14">
        <f t="shared" si="147"/>
        <v>1.8987770485018903E-12</v>
      </c>
      <c r="CB134" s="22">
        <f t="shared" si="118"/>
        <v>3.5340687393033375E-12</v>
      </c>
      <c r="CC134" s="62">
        <f t="shared" si="119"/>
        <v>293.33333333333684</v>
      </c>
      <c r="CD134" s="62">
        <f ca="1">AVERAGE(OFFSET($CC$3,0,0,'Données projet'!$E$12+1,1))-AVERAGE(OFFSET($H$3,0,0,'Données projet'!$E$12+1,1))</f>
        <v>154.44480170404967</v>
      </c>
      <c r="CE134" s="62">
        <f t="shared" si="148"/>
        <v>186.45728006007272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9">
        <f t="shared" si="110"/>
        <v>454.01798716246486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1.9508661353029313E-13</v>
      </c>
      <c r="P135" s="14">
        <f t="shared" si="141"/>
        <v>2.711421636700695E-12</v>
      </c>
      <c r="Q135" s="22">
        <f t="shared" si="108"/>
        <v>5.0621685358189711E-12</v>
      </c>
      <c r="R135" s="62">
        <f t="shared" si="109"/>
        <v>293.33333333333837</v>
      </c>
      <c r="S135" s="62">
        <f ca="1">AVERAGE(OFFSET($R$3,0,0,'Données projet'!$E$9+1,1))-AVERAGE(OFFSET($H$3,0,0,'Données projet'!$E$9+1,1))</f>
        <v>178.42783874015521</v>
      </c>
      <c r="T135" s="62">
        <f t="shared" si="142"/>
        <v>140.03904900962556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0.10504282904877814</v>
      </c>
      <c r="AB135" s="23">
        <f>EXP(-LN(2)/2)*AB134+(1-EXP(-LN(2)/2))/(LN(2)/2)*V135*Y135*VLOOKUP('Données projet'!$B$9,Paramètres!$A$1:$I$89,3,0)*0.475*44/12</f>
        <v>3.0505493163708827E-16</v>
      </c>
      <c r="AC135" s="24">
        <f t="shared" si="111"/>
        <v>0.10504282904877844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216.16876563248064</v>
      </c>
      <c r="AO135" s="62">
        <f t="shared" si="144"/>
        <v>137.55906339137317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0.13665945058650494</v>
      </c>
      <c r="AW135" s="23">
        <f>EXP(-LN(2)/2)*AW134+(1-EXP(-LN(2)/2))/(LN(2)/2)*AQ135*AT135*VLOOKUP('Données projet'!$B$10,Paramètres!$A$1:$I$89,3,0)*0.475*44/12</f>
        <v>1.9544308129605941E-15</v>
      </c>
      <c r="AX135" s="23">
        <f t="shared" si="114"/>
        <v>0.13665945058650689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1.9895196601282805E-13</v>
      </c>
      <c r="BE135" s="14">
        <f>BD135*VLOOKUP('Données projet'!$B$11,Paramètres!$A$1:$I$89,3,0)*VLOOKUP('Données projet'!$B$11,Paramètres!$A$1:$I$89,5,0)</f>
        <v>1.3035332813160495E-13</v>
      </c>
      <c r="BF135" s="14">
        <f t="shared" si="145"/>
        <v>1.8987770485018903E-12</v>
      </c>
      <c r="BG135" s="22">
        <f t="shared" si="115"/>
        <v>3.5340687393033375E-12</v>
      </c>
      <c r="BH135" s="62">
        <f t="shared" si="116"/>
        <v>293.33333333333684</v>
      </c>
      <c r="BI135" s="62">
        <f ca="1">AVERAGE(OFFSET($BH$3,0,0,'Données projet'!$E$11+1,1))-AVERAGE(OFFSET($H$3,0,0,'Données projet'!$E$11+1,1))</f>
        <v>154.44480170404967</v>
      </c>
      <c r="BJ135" s="62">
        <f t="shared" si="146"/>
        <v>186.45728006007272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1.9895196601282805E-13</v>
      </c>
      <c r="BZ135" s="14">
        <f>BY135*VLOOKUP('Données projet'!$B$12,Paramètres!$A$1:$I$89,3,0)*VLOOKUP('Données projet'!$B$12,Paramètres!$A$1:$I$89,5,0)</f>
        <v>1.3035332813160495E-13</v>
      </c>
      <c r="CA135" s="14">
        <f t="shared" si="147"/>
        <v>1.8987770485018903E-12</v>
      </c>
      <c r="CB135" s="22">
        <f t="shared" si="118"/>
        <v>3.5340687393033375E-12</v>
      </c>
      <c r="CC135" s="62">
        <f t="shared" si="119"/>
        <v>293.33333333333684</v>
      </c>
      <c r="CD135" s="62">
        <f ca="1">AVERAGE(OFFSET($CC$3,0,0,'Données projet'!$E$12+1,1))-AVERAGE(OFFSET($H$3,0,0,'Données projet'!$E$12+1,1))</f>
        <v>154.44480170404967</v>
      </c>
      <c r="CE135" s="62">
        <f t="shared" si="148"/>
        <v>186.45728006007272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9">
        <f t="shared" si="110"/>
        <v>455.20418759843233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1.9508661353029313E-13</v>
      </c>
      <c r="P136" s="14">
        <f t="shared" si="141"/>
        <v>2.711421636700695E-12</v>
      </c>
      <c r="Q136" s="22">
        <f t="shared" si="108"/>
        <v>5.0621685358189711E-12</v>
      </c>
      <c r="R136" s="62">
        <f t="shared" si="109"/>
        <v>293.33333333333837</v>
      </c>
      <c r="S136" s="62">
        <f ca="1">AVERAGE(OFFSET($R$3,0,0,'Données projet'!$E$9+1,1))-AVERAGE(OFFSET($H$3,0,0,'Données projet'!$E$9+1,1))</f>
        <v>178.42783874015521</v>
      </c>
      <c r="T136" s="62">
        <f t="shared" si="142"/>
        <v>140.03904900962556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0.102170427364477</v>
      </c>
      <c r="AB136" s="23">
        <f>EXP(-LN(2)/2)*AB135+(1-EXP(-LN(2)/2))/(LN(2)/2)*V136*Y136*VLOOKUP('Données projet'!$B$9,Paramètres!$A$1:$I$89,3,0)*0.475*44/12</f>
        <v>2.1570641079498381E-16</v>
      </c>
      <c r="AC136" s="24">
        <f t="shared" si="111"/>
        <v>0.10217042736447722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216.16876563248064</v>
      </c>
      <c r="AO136" s="62">
        <f t="shared" si="144"/>
        <v>137.55906339137317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0.13292249072360879</v>
      </c>
      <c r="AW136" s="23">
        <f>EXP(-LN(2)/2)*AW135+(1-EXP(-LN(2)/2))/(LN(2)/2)*AQ136*AT136*VLOOKUP('Données projet'!$B$10,Paramètres!$A$1:$I$89,3,0)*0.475*44/12</f>
        <v>1.381991281204373E-15</v>
      </c>
      <c r="AX136" s="23">
        <f t="shared" si="114"/>
        <v>0.13292249072361018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1.9895196601282805E-13</v>
      </c>
      <c r="BE136" s="14">
        <f>BD136*VLOOKUP('Données projet'!$B$11,Paramètres!$A$1:$I$89,3,0)*VLOOKUP('Données projet'!$B$11,Paramètres!$A$1:$I$89,5,0)</f>
        <v>1.3035332813160495E-13</v>
      </c>
      <c r="BF136" s="14">
        <f t="shared" si="145"/>
        <v>1.8987770485018903E-12</v>
      </c>
      <c r="BG136" s="22">
        <f t="shared" si="115"/>
        <v>3.5340687393033375E-12</v>
      </c>
      <c r="BH136" s="62">
        <f t="shared" si="116"/>
        <v>293.33333333333684</v>
      </c>
      <c r="BI136" s="62">
        <f ca="1">AVERAGE(OFFSET($BH$3,0,0,'Données projet'!$E$11+1,1))-AVERAGE(OFFSET($H$3,0,0,'Données projet'!$E$11+1,1))</f>
        <v>154.44480170404967</v>
      </c>
      <c r="BJ136" s="62">
        <f t="shared" si="146"/>
        <v>186.45728006007272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1.9895196601282805E-13</v>
      </c>
      <c r="BZ136" s="14">
        <f>BY136*VLOOKUP('Données projet'!$B$12,Paramètres!$A$1:$I$89,3,0)*VLOOKUP('Données projet'!$B$12,Paramètres!$A$1:$I$89,5,0)</f>
        <v>1.3035332813160495E-13</v>
      </c>
      <c r="CA136" s="14">
        <f t="shared" si="147"/>
        <v>1.8987770485018903E-12</v>
      </c>
      <c r="CB136" s="22">
        <f t="shared" si="118"/>
        <v>3.5340687393033375E-12</v>
      </c>
      <c r="CC136" s="62">
        <f t="shared" si="119"/>
        <v>293.33333333333684</v>
      </c>
      <c r="CD136" s="62">
        <f ca="1">AVERAGE(OFFSET($CC$3,0,0,'Données projet'!$E$12+1,1))-AVERAGE(OFFSET($H$3,0,0,'Données projet'!$E$12+1,1))</f>
        <v>154.44480170404967</v>
      </c>
      <c r="CE136" s="62">
        <f t="shared" si="148"/>
        <v>186.45728006007272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9">
        <f t="shared" si="110"/>
        <v>456.39018223406657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1.9508661353029313E-13</v>
      </c>
      <c r="P137" s="14">
        <f t="shared" si="141"/>
        <v>2.711421636700695E-12</v>
      </c>
      <c r="Q137" s="22">
        <f t="shared" si="108"/>
        <v>5.0621685358189711E-12</v>
      </c>
      <c r="R137" s="62">
        <f t="shared" si="109"/>
        <v>293.33333333333837</v>
      </c>
      <c r="S137" s="62">
        <f ca="1">AVERAGE(OFFSET($R$3,0,0,'Données projet'!$E$9+1,1))-AVERAGE(OFFSET($H$3,0,0,'Données projet'!$E$9+1,1))</f>
        <v>178.42783874015521</v>
      </c>
      <c r="T137" s="62">
        <f t="shared" si="142"/>
        <v>140.03904900962556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9.9376571655286114E-2</v>
      </c>
      <c r="AB137" s="23">
        <f>EXP(-LN(2)/2)*AB136+(1-EXP(-LN(2)/2))/(LN(2)/2)*V137*Y137*VLOOKUP('Données projet'!$B$9,Paramètres!$A$1:$I$89,3,0)*0.475*44/12</f>
        <v>1.5252746581854416E-16</v>
      </c>
      <c r="AC137" s="24">
        <f t="shared" si="111"/>
        <v>9.9376571655286267E-2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216.16876563248064</v>
      </c>
      <c r="AO137" s="62">
        <f t="shared" si="144"/>
        <v>137.55906339137317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0.12928771822468171</v>
      </c>
      <c r="AW137" s="23">
        <f>EXP(-LN(2)/2)*AW136+(1-EXP(-LN(2)/2))/(LN(2)/2)*AQ137*AT137*VLOOKUP('Données projet'!$B$10,Paramètres!$A$1:$I$89,3,0)*0.475*44/12</f>
        <v>9.7721540648029707E-16</v>
      </c>
      <c r="AX137" s="23">
        <f t="shared" si="114"/>
        <v>0.12928771822468269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1.9895196601282805E-13</v>
      </c>
      <c r="BE137" s="14">
        <f>BD137*VLOOKUP('Données projet'!$B$11,Paramètres!$A$1:$I$89,3,0)*VLOOKUP('Données projet'!$B$11,Paramètres!$A$1:$I$89,5,0)</f>
        <v>1.3035332813160495E-13</v>
      </c>
      <c r="BF137" s="14">
        <f t="shared" si="145"/>
        <v>1.8987770485018903E-12</v>
      </c>
      <c r="BG137" s="22">
        <f t="shared" si="115"/>
        <v>3.5340687393033375E-12</v>
      </c>
      <c r="BH137" s="62">
        <f t="shared" si="116"/>
        <v>293.33333333333684</v>
      </c>
      <c r="BI137" s="62">
        <f ca="1">AVERAGE(OFFSET($BH$3,0,0,'Données projet'!$E$11+1,1))-AVERAGE(OFFSET($H$3,0,0,'Données projet'!$E$11+1,1))</f>
        <v>154.44480170404967</v>
      </c>
      <c r="BJ137" s="62">
        <f t="shared" si="146"/>
        <v>186.45728006007272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1.9895196601282805E-13</v>
      </c>
      <c r="BZ137" s="14">
        <f>BY137*VLOOKUP('Données projet'!$B$12,Paramètres!$A$1:$I$89,3,0)*VLOOKUP('Données projet'!$B$12,Paramètres!$A$1:$I$89,5,0)</f>
        <v>1.3035332813160495E-13</v>
      </c>
      <c r="CA137" s="14">
        <f t="shared" si="147"/>
        <v>1.8987770485018903E-12</v>
      </c>
      <c r="CB137" s="22">
        <f t="shared" si="118"/>
        <v>3.5340687393033375E-12</v>
      </c>
      <c r="CC137" s="62">
        <f t="shared" si="119"/>
        <v>293.33333333333684</v>
      </c>
      <c r="CD137" s="62">
        <f ca="1">AVERAGE(OFFSET($CC$3,0,0,'Données projet'!$E$12+1,1))-AVERAGE(OFFSET($H$3,0,0,'Données projet'!$E$12+1,1))</f>
        <v>154.44480170404967</v>
      </c>
      <c r="CE137" s="62">
        <f t="shared" si="148"/>
        <v>186.45728006007272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9">
        <f t="shared" si="110"/>
        <v>457.57597278324812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1.9508661353029313E-13</v>
      </c>
      <c r="P138" s="14">
        <f t="shared" si="141"/>
        <v>2.711421636700695E-12</v>
      </c>
      <c r="Q138" s="22">
        <f t="shared" si="108"/>
        <v>5.0621685358189711E-12</v>
      </c>
      <c r="R138" s="62">
        <f t="shared" si="109"/>
        <v>293.33333333333837</v>
      </c>
      <c r="S138" s="62">
        <f ca="1">AVERAGE(OFFSET($R$3,0,0,'Données projet'!$E$9+1,1))-AVERAGE(OFFSET($H$3,0,0,'Données projet'!$E$9+1,1))</f>
        <v>178.42783874015521</v>
      </c>
      <c r="T138" s="62">
        <f t="shared" si="142"/>
        <v>140.03904900962556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9.6659114077385547E-2</v>
      </c>
      <c r="AB138" s="23">
        <f>EXP(-LN(2)/2)*AB137+(1-EXP(-LN(2)/2))/(LN(2)/2)*V138*Y138*VLOOKUP('Données projet'!$B$9,Paramètres!$A$1:$I$89,3,0)*0.475*44/12</f>
        <v>1.0785320539749192E-16</v>
      </c>
      <c r="AC138" s="24">
        <f t="shared" si="111"/>
        <v>9.6659114077385658E-2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216.16876563248064</v>
      </c>
      <c r="AO138" s="62">
        <f t="shared" si="144"/>
        <v>137.55906339137317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0.12575233877088218</v>
      </c>
      <c r="AW138" s="23">
        <f>EXP(-LN(2)/2)*AW137+(1-EXP(-LN(2)/2))/(LN(2)/2)*AQ138*AT138*VLOOKUP('Données projet'!$B$10,Paramètres!$A$1:$I$89,3,0)*0.475*44/12</f>
        <v>6.9099564060218652E-16</v>
      </c>
      <c r="AX138" s="23">
        <f t="shared" si="114"/>
        <v>0.12575233877088288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1.9895196601282805E-13</v>
      </c>
      <c r="BE138" s="14">
        <f>BD138*VLOOKUP('Données projet'!$B$11,Paramètres!$A$1:$I$89,3,0)*VLOOKUP('Données projet'!$B$11,Paramètres!$A$1:$I$89,5,0)</f>
        <v>1.3035332813160495E-13</v>
      </c>
      <c r="BF138" s="14">
        <f t="shared" si="145"/>
        <v>1.8987770485018903E-12</v>
      </c>
      <c r="BG138" s="22">
        <f t="shared" si="115"/>
        <v>3.5340687393033375E-12</v>
      </c>
      <c r="BH138" s="62">
        <f t="shared" si="116"/>
        <v>293.33333333333684</v>
      </c>
      <c r="BI138" s="62">
        <f ca="1">AVERAGE(OFFSET($BH$3,0,0,'Données projet'!$E$11+1,1))-AVERAGE(OFFSET($H$3,0,0,'Données projet'!$E$11+1,1))</f>
        <v>154.44480170404967</v>
      </c>
      <c r="BJ138" s="62">
        <f t="shared" si="146"/>
        <v>186.45728006007272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1.9895196601282805E-13</v>
      </c>
      <c r="BZ138" s="14">
        <f>BY138*VLOOKUP('Données projet'!$B$12,Paramètres!$A$1:$I$89,3,0)*VLOOKUP('Données projet'!$B$12,Paramètres!$A$1:$I$89,5,0)</f>
        <v>1.3035332813160495E-13</v>
      </c>
      <c r="CA138" s="14">
        <f t="shared" si="147"/>
        <v>1.8987770485018903E-12</v>
      </c>
      <c r="CB138" s="22">
        <f t="shared" si="118"/>
        <v>3.5340687393033375E-12</v>
      </c>
      <c r="CC138" s="62">
        <f t="shared" si="119"/>
        <v>293.33333333333684</v>
      </c>
      <c r="CD138" s="62">
        <f ca="1">AVERAGE(OFFSET($CC$3,0,0,'Données projet'!$E$12+1,1))-AVERAGE(OFFSET($H$3,0,0,'Données projet'!$E$12+1,1))</f>
        <v>154.44480170404967</v>
      </c>
      <c r="CE138" s="62">
        <f t="shared" si="148"/>
        <v>186.45728006007272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9">
        <f t="shared" si="110"/>
        <v>458.76156093300006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1.9508661353029313E-13</v>
      </c>
      <c r="P139" s="14">
        <f t="shared" si="141"/>
        <v>2.711421636700695E-12</v>
      </c>
      <c r="Q139" s="22">
        <f t="shared" si="108"/>
        <v>5.0621685358189711E-12</v>
      </c>
      <c r="R139" s="62">
        <f t="shared" si="109"/>
        <v>293.33333333333837</v>
      </c>
      <c r="S139" s="62">
        <f ca="1">AVERAGE(OFFSET($R$3,0,0,'Données projet'!$E$9+1,1))-AVERAGE(OFFSET($H$3,0,0,'Données projet'!$E$9+1,1))</f>
        <v>178.42783874015521</v>
      </c>
      <c r="T139" s="62">
        <f t="shared" si="142"/>
        <v>140.03904900962556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9.4015965519857553E-2</v>
      </c>
      <c r="AB139" s="23">
        <f>EXP(-LN(2)/2)*AB138+(1-EXP(-LN(2)/2))/(LN(2)/2)*V139*Y139*VLOOKUP('Données projet'!$B$9,Paramètres!$A$1:$I$89,3,0)*0.475*44/12</f>
        <v>7.6263732909272093E-17</v>
      </c>
      <c r="AC139" s="24">
        <f t="shared" si="111"/>
        <v>9.4015965519857622E-2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216.16876563248064</v>
      </c>
      <c r="AO139" s="62">
        <f t="shared" si="144"/>
        <v>137.55906339137317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0.12231363445416432</v>
      </c>
      <c r="AW139" s="23">
        <f>EXP(-LN(2)/2)*AW138+(1-EXP(-LN(2)/2))/(LN(2)/2)*AQ139*AT139*VLOOKUP('Données projet'!$B$10,Paramètres!$A$1:$I$89,3,0)*0.475*44/12</f>
        <v>4.8860770324014853E-16</v>
      </c>
      <c r="AX139" s="23">
        <f t="shared" si="114"/>
        <v>0.12231363445416481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1.9895196601282805E-13</v>
      </c>
      <c r="BE139" s="14">
        <f>BD139*VLOOKUP('Données projet'!$B$11,Paramètres!$A$1:$I$89,3,0)*VLOOKUP('Données projet'!$B$11,Paramètres!$A$1:$I$89,5,0)</f>
        <v>1.3035332813160495E-13</v>
      </c>
      <c r="BF139" s="14">
        <f t="shared" si="145"/>
        <v>1.8987770485018903E-12</v>
      </c>
      <c r="BG139" s="22">
        <f t="shared" si="115"/>
        <v>3.5340687393033375E-12</v>
      </c>
      <c r="BH139" s="62">
        <f t="shared" si="116"/>
        <v>293.33333333333684</v>
      </c>
      <c r="BI139" s="62">
        <f ca="1">AVERAGE(OFFSET($BH$3,0,0,'Données projet'!$E$11+1,1))-AVERAGE(OFFSET($H$3,0,0,'Données projet'!$E$11+1,1))</f>
        <v>154.44480170404967</v>
      </c>
      <c r="BJ139" s="62">
        <f t="shared" si="146"/>
        <v>186.45728006007272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1.9895196601282805E-13</v>
      </c>
      <c r="BZ139" s="14">
        <f>BY139*VLOOKUP('Données projet'!$B$12,Paramètres!$A$1:$I$89,3,0)*VLOOKUP('Données projet'!$B$12,Paramètres!$A$1:$I$89,5,0)</f>
        <v>1.3035332813160495E-13</v>
      </c>
      <c r="CA139" s="14">
        <f t="shared" si="147"/>
        <v>1.8987770485018903E-12</v>
      </c>
      <c r="CB139" s="22">
        <f t="shared" si="118"/>
        <v>3.5340687393033375E-12</v>
      </c>
      <c r="CC139" s="62">
        <f t="shared" si="119"/>
        <v>293.33333333333684</v>
      </c>
      <c r="CD139" s="62">
        <f ca="1">AVERAGE(OFFSET($CC$3,0,0,'Données projet'!$E$12+1,1))-AVERAGE(OFFSET($H$3,0,0,'Données projet'!$E$12+1,1))</f>
        <v>154.44480170404967</v>
      </c>
      <c r="CE139" s="62">
        <f t="shared" si="148"/>
        <v>186.45728006007272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9">
        <f t="shared" si="110"/>
        <v>459.94694834410268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1.9508661353029313E-13</v>
      </c>
      <c r="P140" s="14">
        <f t="shared" si="141"/>
        <v>2.711421636700695E-12</v>
      </c>
      <c r="Q140" s="22">
        <f t="shared" si="108"/>
        <v>5.0621685358189711E-12</v>
      </c>
      <c r="R140" s="62">
        <f t="shared" si="109"/>
        <v>293.33333333333837</v>
      </c>
      <c r="S140" s="62">
        <f ca="1">AVERAGE(OFFSET($R$3,0,0,'Données projet'!$E$9+1,1))-AVERAGE(OFFSET($H$3,0,0,'Données projet'!$E$9+1,1))</f>
        <v>178.42783874015521</v>
      </c>
      <c r="T140" s="62">
        <f t="shared" si="142"/>
        <v>140.03904900962556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9.1445093998632293E-2</v>
      </c>
      <c r="AB140" s="23">
        <f>EXP(-LN(2)/2)*AB139+(1-EXP(-LN(2)/2))/(LN(2)/2)*V140*Y140*VLOOKUP('Données projet'!$B$9,Paramètres!$A$1:$I$89,3,0)*0.475*44/12</f>
        <v>5.3926602698745971E-17</v>
      </c>
      <c r="AC140" s="24">
        <f t="shared" si="111"/>
        <v>9.1445093998632349E-2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216.16876563248064</v>
      </c>
      <c r="AO140" s="62">
        <f t="shared" si="144"/>
        <v>137.55906339137317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0.11896896168782072</v>
      </c>
      <c r="AW140" s="23">
        <f>EXP(-LN(2)/2)*AW139+(1-EXP(-LN(2)/2))/(LN(2)/2)*AQ140*AT140*VLOOKUP('Données projet'!$B$10,Paramètres!$A$1:$I$89,3,0)*0.475*44/12</f>
        <v>3.4549782030109326E-16</v>
      </c>
      <c r="AX140" s="23">
        <f t="shared" si="114"/>
        <v>0.11896896168782106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1.9895196601282805E-13</v>
      </c>
      <c r="BE140" s="14">
        <f>BD140*VLOOKUP('Données projet'!$B$11,Paramètres!$A$1:$I$89,3,0)*VLOOKUP('Données projet'!$B$11,Paramètres!$A$1:$I$89,5,0)</f>
        <v>1.3035332813160495E-13</v>
      </c>
      <c r="BF140" s="14">
        <f t="shared" si="145"/>
        <v>1.8987770485018903E-12</v>
      </c>
      <c r="BG140" s="22">
        <f t="shared" si="115"/>
        <v>3.5340687393033375E-12</v>
      </c>
      <c r="BH140" s="62">
        <f t="shared" si="116"/>
        <v>293.33333333333684</v>
      </c>
      <c r="BI140" s="62">
        <f ca="1">AVERAGE(OFFSET($BH$3,0,0,'Données projet'!$E$11+1,1))-AVERAGE(OFFSET($H$3,0,0,'Données projet'!$E$11+1,1))</f>
        <v>154.44480170404967</v>
      </c>
      <c r="BJ140" s="62">
        <f t="shared" si="146"/>
        <v>186.45728006007272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1.9895196601282805E-13</v>
      </c>
      <c r="BZ140" s="14">
        <f>BY140*VLOOKUP('Données projet'!$B$12,Paramètres!$A$1:$I$89,3,0)*VLOOKUP('Données projet'!$B$12,Paramètres!$A$1:$I$89,5,0)</f>
        <v>1.3035332813160495E-13</v>
      </c>
      <c r="CA140" s="14">
        <f t="shared" si="147"/>
        <v>1.8987770485018903E-12</v>
      </c>
      <c r="CB140" s="22">
        <f t="shared" si="118"/>
        <v>3.5340687393033375E-12</v>
      </c>
      <c r="CC140" s="62">
        <f t="shared" si="119"/>
        <v>293.33333333333684</v>
      </c>
      <c r="CD140" s="62">
        <f ca="1">AVERAGE(OFFSET($CC$3,0,0,'Données projet'!$E$12+1,1))-AVERAGE(OFFSET($H$3,0,0,'Données projet'!$E$12+1,1))</f>
        <v>154.44480170404967</v>
      </c>
      <c r="CE140" s="62">
        <f t="shared" si="148"/>
        <v>186.45728006007272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9">
        <f t="shared" si="110"/>
        <v>461.13213665169064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1.9508661353029313E-13</v>
      </c>
      <c r="P141" s="14">
        <f t="shared" si="141"/>
        <v>2.711421636700695E-12</v>
      </c>
      <c r="Q141" s="22">
        <f t="shared" si="108"/>
        <v>5.0621685358189711E-12</v>
      </c>
      <c r="R141" s="62">
        <f t="shared" si="109"/>
        <v>293.33333333333837</v>
      </c>
      <c r="S141" s="62">
        <f ca="1">AVERAGE(OFFSET($R$3,0,0,'Données projet'!$E$9+1,1))-AVERAGE(OFFSET($H$3,0,0,'Données projet'!$E$9+1,1))</f>
        <v>178.42783874015521</v>
      </c>
      <c r="T141" s="62">
        <f t="shared" si="142"/>
        <v>140.03904900962556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8.8944523094351205E-2</v>
      </c>
      <c r="AB141" s="23">
        <f>EXP(-LN(2)/2)*AB140+(1-EXP(-LN(2)/2))/(LN(2)/2)*V141*Y141*VLOOKUP('Données projet'!$B$9,Paramètres!$A$1:$I$89,3,0)*0.475*44/12</f>
        <v>3.8131866454636053E-17</v>
      </c>
      <c r="AC141" s="24">
        <f t="shared" si="111"/>
        <v>8.8944523094351247E-2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216.16876563248064</v>
      </c>
      <c r="AO141" s="62">
        <f t="shared" si="144"/>
        <v>137.55906339137317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0.11571574917416147</v>
      </c>
      <c r="AW141" s="23">
        <f>EXP(-LN(2)/2)*AW140+(1-EXP(-LN(2)/2))/(LN(2)/2)*AQ141*AT141*VLOOKUP('Données projet'!$B$10,Paramètres!$A$1:$I$89,3,0)*0.475*44/12</f>
        <v>2.4430385162007427E-16</v>
      </c>
      <c r="AX141" s="23">
        <f t="shared" si="114"/>
        <v>0.11571574917416172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1.9895196601282805E-13</v>
      </c>
      <c r="BE141" s="14">
        <f>BD141*VLOOKUP('Données projet'!$B$11,Paramètres!$A$1:$I$89,3,0)*VLOOKUP('Données projet'!$B$11,Paramètres!$A$1:$I$89,5,0)</f>
        <v>1.3035332813160495E-13</v>
      </c>
      <c r="BF141" s="14">
        <f t="shared" si="145"/>
        <v>1.8987770485018903E-12</v>
      </c>
      <c r="BG141" s="22">
        <f t="shared" si="115"/>
        <v>3.5340687393033375E-12</v>
      </c>
      <c r="BH141" s="62">
        <f t="shared" si="116"/>
        <v>293.33333333333684</v>
      </c>
      <c r="BI141" s="62">
        <f ca="1">AVERAGE(OFFSET($BH$3,0,0,'Données projet'!$E$11+1,1))-AVERAGE(OFFSET($H$3,0,0,'Données projet'!$E$11+1,1))</f>
        <v>154.44480170404967</v>
      </c>
      <c r="BJ141" s="62">
        <f t="shared" si="146"/>
        <v>186.45728006007272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1.9895196601282805E-13</v>
      </c>
      <c r="BZ141" s="14">
        <f>BY141*VLOOKUP('Données projet'!$B$12,Paramètres!$A$1:$I$89,3,0)*VLOOKUP('Données projet'!$B$12,Paramètres!$A$1:$I$89,5,0)</f>
        <v>1.3035332813160495E-13</v>
      </c>
      <c r="CA141" s="14">
        <f t="shared" si="147"/>
        <v>1.8987770485018903E-12</v>
      </c>
      <c r="CB141" s="22">
        <f t="shared" si="118"/>
        <v>3.5340687393033375E-12</v>
      </c>
      <c r="CC141" s="62">
        <f t="shared" si="119"/>
        <v>293.33333333333684</v>
      </c>
      <c r="CD141" s="62">
        <f ca="1">AVERAGE(OFFSET($CC$3,0,0,'Données projet'!$E$12+1,1))-AVERAGE(OFFSET($H$3,0,0,'Données projet'!$E$12+1,1))</f>
        <v>154.44480170404967</v>
      </c>
      <c r="CE141" s="62">
        <f t="shared" si="148"/>
        <v>186.45728006007272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9">
        <f t="shared" si="110"/>
        <v>462.31712746583173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1.9508661353029313E-13</v>
      </c>
      <c r="P142" s="14">
        <f t="shared" si="141"/>
        <v>2.711421636700695E-12</v>
      </c>
      <c r="Q142" s="22">
        <f t="shared" si="108"/>
        <v>5.0621685358189711E-12</v>
      </c>
      <c r="R142" s="62">
        <f t="shared" si="109"/>
        <v>293.33333333333837</v>
      </c>
      <c r="S142" s="62">
        <f ca="1">AVERAGE(OFFSET($R$3,0,0,'Données projet'!$E$9+1,1))-AVERAGE(OFFSET($H$3,0,0,'Données projet'!$E$9+1,1))</f>
        <v>178.42783874015521</v>
      </c>
      <c r="T142" s="62">
        <f t="shared" si="142"/>
        <v>140.03904900962556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8.6512330432946982E-2</v>
      </c>
      <c r="AB142" s="23">
        <f>EXP(-LN(2)/2)*AB141+(1-EXP(-LN(2)/2))/(LN(2)/2)*V142*Y142*VLOOKUP('Données projet'!$B$9,Paramètres!$A$1:$I$89,3,0)*0.475*44/12</f>
        <v>2.6963301349372989E-17</v>
      </c>
      <c r="AC142" s="24">
        <f t="shared" si="111"/>
        <v>8.651233043294701E-2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216.16876563248064</v>
      </c>
      <c r="AO142" s="62">
        <f t="shared" si="144"/>
        <v>137.55906339137317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0.11255149592776725</v>
      </c>
      <c r="AW142" s="23">
        <f>EXP(-LN(2)/2)*AW141+(1-EXP(-LN(2)/2))/(LN(2)/2)*AQ142*AT142*VLOOKUP('Données projet'!$B$10,Paramètres!$A$1:$I$89,3,0)*0.475*44/12</f>
        <v>1.7274891015054663E-16</v>
      </c>
      <c r="AX142" s="23">
        <f t="shared" si="114"/>
        <v>0.11255149592776742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1.9895196601282805E-13</v>
      </c>
      <c r="BE142" s="14">
        <f>BD142*VLOOKUP('Données projet'!$B$11,Paramètres!$A$1:$I$89,3,0)*VLOOKUP('Données projet'!$B$11,Paramètres!$A$1:$I$89,5,0)</f>
        <v>1.3035332813160495E-13</v>
      </c>
      <c r="BF142" s="14">
        <f t="shared" si="145"/>
        <v>1.8987770485018903E-12</v>
      </c>
      <c r="BG142" s="22">
        <f t="shared" si="115"/>
        <v>3.5340687393033375E-12</v>
      </c>
      <c r="BH142" s="62">
        <f t="shared" si="116"/>
        <v>293.33333333333684</v>
      </c>
      <c r="BI142" s="62">
        <f ca="1">AVERAGE(OFFSET($BH$3,0,0,'Données projet'!$E$11+1,1))-AVERAGE(OFFSET($H$3,0,0,'Données projet'!$E$11+1,1))</f>
        <v>154.44480170404967</v>
      </c>
      <c r="BJ142" s="62">
        <f t="shared" si="146"/>
        <v>186.45728006007272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1.9895196601282805E-13</v>
      </c>
      <c r="BZ142" s="14">
        <f>BY142*VLOOKUP('Données projet'!$B$12,Paramètres!$A$1:$I$89,3,0)*VLOOKUP('Données projet'!$B$12,Paramètres!$A$1:$I$89,5,0)</f>
        <v>1.3035332813160495E-13</v>
      </c>
      <c r="CA142" s="14">
        <f t="shared" si="147"/>
        <v>1.8987770485018903E-12</v>
      </c>
      <c r="CB142" s="22">
        <f t="shared" si="118"/>
        <v>3.5340687393033375E-12</v>
      </c>
      <c r="CC142" s="62">
        <f t="shared" si="119"/>
        <v>293.33333333333684</v>
      </c>
      <c r="CD142" s="62">
        <f ca="1">AVERAGE(OFFSET($CC$3,0,0,'Données projet'!$E$12+1,1))-AVERAGE(OFFSET($H$3,0,0,'Données projet'!$E$12+1,1))</f>
        <v>154.44480170404967</v>
      </c>
      <c r="CE142" s="62">
        <f t="shared" si="148"/>
        <v>186.45728006007272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9">
        <f t="shared" si="110"/>
        <v>463.50192237208853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1.9508661353029313E-13</v>
      </c>
      <c r="P143" s="14">
        <f t="shared" si="141"/>
        <v>2.711421636700695E-12</v>
      </c>
      <c r="Q143" s="22">
        <f t="shared" si="108"/>
        <v>5.0621685358189711E-12</v>
      </c>
      <c r="R143" s="62">
        <f t="shared" si="109"/>
        <v>293.33333333333837</v>
      </c>
      <c r="S143" s="62">
        <f ca="1">AVERAGE(OFFSET($R$3,0,0,'Données projet'!$E$9+1,1))-AVERAGE(OFFSET($H$3,0,0,'Données projet'!$E$9+1,1))</f>
        <v>178.42783874015521</v>
      </c>
      <c r="T143" s="62">
        <f t="shared" si="142"/>
        <v>140.03904900962556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8.4146646207772319E-2</v>
      </c>
      <c r="AB143" s="23">
        <f>EXP(-LN(2)/2)*AB142+(1-EXP(-LN(2)/2))/(LN(2)/2)*V143*Y143*VLOOKUP('Données projet'!$B$9,Paramètres!$A$1:$I$89,3,0)*0.475*44/12</f>
        <v>1.9065933227318029E-17</v>
      </c>
      <c r="AC143" s="24">
        <f t="shared" si="111"/>
        <v>8.4146646207772333E-2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216.16876563248064</v>
      </c>
      <c r="AO143" s="62">
        <f t="shared" si="144"/>
        <v>137.55906339137317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0.10947376935279653</v>
      </c>
      <c r="AW143" s="23">
        <f>EXP(-LN(2)/2)*AW142+(1-EXP(-LN(2)/2))/(LN(2)/2)*AQ143*AT143*VLOOKUP('Données projet'!$B$10,Paramètres!$A$1:$I$89,3,0)*0.475*44/12</f>
        <v>1.2215192581003713E-16</v>
      </c>
      <c r="AX143" s="23">
        <f t="shared" si="114"/>
        <v>0.10947376935279665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1.9895196601282805E-13</v>
      </c>
      <c r="BE143" s="14">
        <f>BD143*VLOOKUP('Données projet'!$B$11,Paramètres!$A$1:$I$89,3,0)*VLOOKUP('Données projet'!$B$11,Paramètres!$A$1:$I$89,5,0)</f>
        <v>1.3035332813160495E-13</v>
      </c>
      <c r="BF143" s="14">
        <f t="shared" si="145"/>
        <v>1.8987770485018903E-12</v>
      </c>
      <c r="BG143" s="22">
        <f t="shared" si="115"/>
        <v>3.5340687393033375E-12</v>
      </c>
      <c r="BH143" s="62">
        <f t="shared" si="116"/>
        <v>293.33333333333684</v>
      </c>
      <c r="BI143" s="62">
        <f ca="1">AVERAGE(OFFSET($BH$3,0,0,'Données projet'!$E$11+1,1))-AVERAGE(OFFSET($H$3,0,0,'Données projet'!$E$11+1,1))</f>
        <v>154.44480170404967</v>
      </c>
      <c r="BJ143" s="62">
        <f t="shared" si="146"/>
        <v>186.45728006007272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1.9895196601282805E-13</v>
      </c>
      <c r="BZ143" s="14">
        <f>BY143*VLOOKUP('Données projet'!$B$12,Paramètres!$A$1:$I$89,3,0)*VLOOKUP('Données projet'!$B$12,Paramètres!$A$1:$I$89,5,0)</f>
        <v>1.3035332813160495E-13</v>
      </c>
      <c r="CA143" s="14">
        <f t="shared" si="147"/>
        <v>1.8987770485018903E-12</v>
      </c>
      <c r="CB143" s="22">
        <f t="shared" si="118"/>
        <v>3.5340687393033375E-12</v>
      </c>
      <c r="CC143" s="62">
        <f t="shared" si="119"/>
        <v>293.33333333333684</v>
      </c>
      <c r="CD143" s="62">
        <f ca="1">AVERAGE(OFFSET($CC$3,0,0,'Données projet'!$E$12+1,1))-AVERAGE(OFFSET($H$3,0,0,'Données projet'!$E$12+1,1))</f>
        <v>154.44480170404967</v>
      </c>
      <c r="CE143" s="62">
        <f t="shared" si="148"/>
        <v>186.45728006007272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9">
        <f t="shared" si="110"/>
        <v>464.68652293206395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1.9508661353029313E-13</v>
      </c>
      <c r="P144" s="14">
        <f t="shared" si="141"/>
        <v>2.711421636700695E-12</v>
      </c>
      <c r="Q144" s="22">
        <f t="shared" si="108"/>
        <v>5.0621685358189711E-12</v>
      </c>
      <c r="R144" s="62">
        <f t="shared" si="109"/>
        <v>293.33333333333837</v>
      </c>
      <c r="S144" s="62">
        <f ca="1">AVERAGE(OFFSET($R$3,0,0,'Données projet'!$E$9+1,1))-AVERAGE(OFFSET($H$3,0,0,'Données projet'!$E$9+1,1))</f>
        <v>178.42783874015521</v>
      </c>
      <c r="T144" s="62">
        <f t="shared" si="142"/>
        <v>140.03904900962556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8.1845651742140979E-2</v>
      </c>
      <c r="AB144" s="23">
        <f>EXP(-LN(2)/2)*AB143+(1-EXP(-LN(2)/2))/(LN(2)/2)*V144*Y144*VLOOKUP('Données projet'!$B$9,Paramètres!$A$1:$I$89,3,0)*0.475*44/12</f>
        <v>1.3481650674686496E-17</v>
      </c>
      <c r="AC144" s="24">
        <f t="shared" si="111"/>
        <v>8.1845651742140993E-2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216.16876563248064</v>
      </c>
      <c r="AO144" s="62">
        <f t="shared" si="144"/>
        <v>137.55906339137317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0.10648020337286898</v>
      </c>
      <c r="AW144" s="23">
        <f>EXP(-LN(2)/2)*AW143+(1-EXP(-LN(2)/2))/(LN(2)/2)*AQ144*AT144*VLOOKUP('Données projet'!$B$10,Paramètres!$A$1:$I$89,3,0)*0.475*44/12</f>
        <v>8.6374455075273315E-17</v>
      </c>
      <c r="AX144" s="23">
        <f t="shared" si="114"/>
        <v>0.10648020337286906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1.9895196601282805E-13</v>
      </c>
      <c r="BE144" s="14">
        <f>BD144*VLOOKUP('Données projet'!$B$11,Paramètres!$A$1:$I$89,3,0)*VLOOKUP('Données projet'!$B$11,Paramètres!$A$1:$I$89,5,0)</f>
        <v>1.3035332813160495E-13</v>
      </c>
      <c r="BF144" s="14">
        <f t="shared" si="145"/>
        <v>1.8987770485018903E-12</v>
      </c>
      <c r="BG144" s="22">
        <f t="shared" si="115"/>
        <v>3.5340687393033375E-12</v>
      </c>
      <c r="BH144" s="62">
        <f t="shared" si="116"/>
        <v>293.33333333333684</v>
      </c>
      <c r="BI144" s="62">
        <f ca="1">AVERAGE(OFFSET($BH$3,0,0,'Données projet'!$E$11+1,1))-AVERAGE(OFFSET($H$3,0,0,'Données projet'!$E$11+1,1))</f>
        <v>154.44480170404967</v>
      </c>
      <c r="BJ144" s="62">
        <f t="shared" si="146"/>
        <v>186.45728006007272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1.9895196601282805E-13</v>
      </c>
      <c r="BZ144" s="14">
        <f>BY144*VLOOKUP('Données projet'!$B$12,Paramètres!$A$1:$I$89,3,0)*VLOOKUP('Données projet'!$B$12,Paramètres!$A$1:$I$89,5,0)</f>
        <v>1.3035332813160495E-13</v>
      </c>
      <c r="CA144" s="14">
        <f t="shared" si="147"/>
        <v>1.8987770485018903E-12</v>
      </c>
      <c r="CB144" s="22">
        <f t="shared" si="118"/>
        <v>3.5340687393033375E-12</v>
      </c>
      <c r="CC144" s="62">
        <f t="shared" si="119"/>
        <v>293.33333333333684</v>
      </c>
      <c r="CD144" s="62">
        <f ca="1">AVERAGE(OFFSET($CC$3,0,0,'Données projet'!$E$12+1,1))-AVERAGE(OFFSET($H$3,0,0,'Données projet'!$E$12+1,1))</f>
        <v>154.44480170404967</v>
      </c>
      <c r="CE144" s="62">
        <f t="shared" si="148"/>
        <v>186.45728006007272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9">
        <f t="shared" si="110"/>
        <v>465.87093068393028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1.9508661353029313E-13</v>
      </c>
      <c r="P145" s="14">
        <f t="shared" si="141"/>
        <v>2.711421636700695E-12</v>
      </c>
      <c r="Q145" s="22">
        <f t="shared" si="108"/>
        <v>5.0621685358189711E-12</v>
      </c>
      <c r="R145" s="62">
        <f t="shared" si="109"/>
        <v>293.33333333333837</v>
      </c>
      <c r="S145" s="62">
        <f ca="1">AVERAGE(OFFSET($R$3,0,0,'Données projet'!$E$9+1,1))-AVERAGE(OFFSET($H$3,0,0,'Données projet'!$E$9+1,1))</f>
        <v>178.42783874015521</v>
      </c>
      <c r="T145" s="62">
        <f t="shared" si="142"/>
        <v>140.03904900962556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7.960757809117637E-2</v>
      </c>
      <c r="AB145" s="23">
        <f>EXP(-LN(2)/2)*AB144+(1-EXP(-LN(2)/2))/(LN(2)/2)*V145*Y145*VLOOKUP('Données projet'!$B$9,Paramètres!$A$1:$I$89,3,0)*0.475*44/12</f>
        <v>9.5329666136590163E-18</v>
      </c>
      <c r="AC145" s="24">
        <f t="shared" si="111"/>
        <v>7.9607578091176384E-2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216.16876563248064</v>
      </c>
      <c r="AO145" s="62">
        <f t="shared" si="144"/>
        <v>137.55906339137317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0.10356849661208735</v>
      </c>
      <c r="AW145" s="23">
        <f>EXP(-LN(2)/2)*AW144+(1-EXP(-LN(2)/2))/(LN(2)/2)*AQ145*AT145*VLOOKUP('Données projet'!$B$10,Paramètres!$A$1:$I$89,3,0)*0.475*44/12</f>
        <v>6.1075962905018567E-17</v>
      </c>
      <c r="AX145" s="23">
        <f t="shared" si="114"/>
        <v>0.1035684966120874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1.9895196601282805E-13</v>
      </c>
      <c r="BE145" s="14">
        <f>BD145*VLOOKUP('Données projet'!$B$11,Paramètres!$A$1:$I$89,3,0)*VLOOKUP('Données projet'!$B$11,Paramètres!$A$1:$I$89,5,0)</f>
        <v>1.3035332813160495E-13</v>
      </c>
      <c r="BF145" s="14">
        <f t="shared" si="145"/>
        <v>1.8987770485018903E-12</v>
      </c>
      <c r="BG145" s="22">
        <f t="shared" si="115"/>
        <v>3.5340687393033375E-12</v>
      </c>
      <c r="BH145" s="62">
        <f t="shared" si="116"/>
        <v>293.33333333333684</v>
      </c>
      <c r="BI145" s="62">
        <f ca="1">AVERAGE(OFFSET($BH$3,0,0,'Données projet'!$E$11+1,1))-AVERAGE(OFFSET($H$3,0,0,'Données projet'!$E$11+1,1))</f>
        <v>154.44480170404967</v>
      </c>
      <c r="BJ145" s="62">
        <f t="shared" si="146"/>
        <v>186.45728006007272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1.9895196601282805E-13</v>
      </c>
      <c r="BZ145" s="14">
        <f>BY145*VLOOKUP('Données projet'!$B$12,Paramètres!$A$1:$I$89,3,0)*VLOOKUP('Données projet'!$B$12,Paramètres!$A$1:$I$89,5,0)</f>
        <v>1.3035332813160495E-13</v>
      </c>
      <c r="CA145" s="14">
        <f t="shared" si="147"/>
        <v>1.8987770485018903E-12</v>
      </c>
      <c r="CB145" s="22">
        <f t="shared" si="118"/>
        <v>3.5340687393033375E-12</v>
      </c>
      <c r="CC145" s="62">
        <f t="shared" si="119"/>
        <v>293.33333333333684</v>
      </c>
      <c r="CD145" s="62">
        <f ca="1">AVERAGE(OFFSET($CC$3,0,0,'Données projet'!$E$12+1,1))-AVERAGE(OFFSET($H$3,0,0,'Données projet'!$E$12+1,1))</f>
        <v>154.44480170404967</v>
      </c>
      <c r="CE145" s="62">
        <f t="shared" si="148"/>
        <v>186.45728006007272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9">
        <f t="shared" si="110"/>
        <v>467.0551471429435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1.9508661353029313E-13</v>
      </c>
      <c r="P146" s="14">
        <f t="shared" si="141"/>
        <v>2.711421636700695E-12</v>
      </c>
      <c r="Q146" s="22">
        <f t="shared" si="108"/>
        <v>5.0621685358189711E-12</v>
      </c>
      <c r="R146" s="62">
        <f t="shared" si="109"/>
        <v>293.33333333333837</v>
      </c>
      <c r="S146" s="62">
        <f ca="1">AVERAGE(OFFSET($R$3,0,0,'Données projet'!$E$9+1,1))-AVERAGE(OFFSET($H$3,0,0,'Données projet'!$E$9+1,1))</f>
        <v>178.42783874015521</v>
      </c>
      <c r="T146" s="62">
        <f t="shared" si="142"/>
        <v>140.03904900962556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7.7430704681892559E-2</v>
      </c>
      <c r="AB146" s="23">
        <f>EXP(-LN(2)/2)*AB145+(1-EXP(-LN(2)/2))/(LN(2)/2)*V146*Y146*VLOOKUP('Données projet'!$B$9,Paramètres!$A$1:$I$89,3,0)*0.475*44/12</f>
        <v>6.7408253373432495E-18</v>
      </c>
      <c r="AC146" s="24">
        <f t="shared" si="111"/>
        <v>7.7430704681892559E-2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216.16876563248064</v>
      </c>
      <c r="AO146" s="62">
        <f t="shared" si="144"/>
        <v>137.55906339137317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0.10073641062579929</v>
      </c>
      <c r="AW146" s="23">
        <f>EXP(-LN(2)/2)*AW145+(1-EXP(-LN(2)/2))/(LN(2)/2)*AQ146*AT146*VLOOKUP('Données projet'!$B$10,Paramètres!$A$1:$I$89,3,0)*0.475*44/12</f>
        <v>4.3187227537636658E-17</v>
      </c>
      <c r="AX146" s="23">
        <f t="shared" si="114"/>
        <v>0.10073641062579933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1.9895196601282805E-13</v>
      </c>
      <c r="BE146" s="14">
        <f>BD146*VLOOKUP('Données projet'!$B$11,Paramètres!$A$1:$I$89,3,0)*VLOOKUP('Données projet'!$B$11,Paramètres!$A$1:$I$89,5,0)</f>
        <v>1.3035332813160495E-13</v>
      </c>
      <c r="BF146" s="14">
        <f t="shared" si="145"/>
        <v>1.8987770485018903E-12</v>
      </c>
      <c r="BG146" s="22">
        <f t="shared" si="115"/>
        <v>3.5340687393033375E-12</v>
      </c>
      <c r="BH146" s="62">
        <f t="shared" si="116"/>
        <v>293.33333333333684</v>
      </c>
      <c r="BI146" s="62">
        <f ca="1">AVERAGE(OFFSET($BH$3,0,0,'Données projet'!$E$11+1,1))-AVERAGE(OFFSET($H$3,0,0,'Données projet'!$E$11+1,1))</f>
        <v>154.44480170404967</v>
      </c>
      <c r="BJ146" s="62">
        <f t="shared" si="146"/>
        <v>186.45728006007272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1.9895196601282805E-13</v>
      </c>
      <c r="BZ146" s="14">
        <f>BY146*VLOOKUP('Données projet'!$B$12,Paramètres!$A$1:$I$89,3,0)*VLOOKUP('Données projet'!$B$12,Paramètres!$A$1:$I$89,5,0)</f>
        <v>1.3035332813160495E-13</v>
      </c>
      <c r="CA146" s="14">
        <f t="shared" si="147"/>
        <v>1.8987770485018903E-12</v>
      </c>
      <c r="CB146" s="22">
        <f t="shared" si="118"/>
        <v>3.5340687393033375E-12</v>
      </c>
      <c r="CC146" s="62">
        <f t="shared" si="119"/>
        <v>293.33333333333684</v>
      </c>
      <c r="CD146" s="62">
        <f ca="1">AVERAGE(OFFSET($CC$3,0,0,'Données projet'!$E$12+1,1))-AVERAGE(OFFSET($H$3,0,0,'Données projet'!$E$12+1,1))</f>
        <v>154.44480170404967</v>
      </c>
      <c r="CE146" s="62">
        <f t="shared" si="148"/>
        <v>186.45728006007272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9">
        <f t="shared" si="110"/>
        <v>468.23917380194229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1.9508661353029313E-13</v>
      </c>
      <c r="P147" s="14">
        <f t="shared" si="141"/>
        <v>2.711421636700695E-12</v>
      </c>
      <c r="Q147" s="22">
        <f t="shared" si="108"/>
        <v>5.0621685358189711E-12</v>
      </c>
      <c r="R147" s="62">
        <f t="shared" si="109"/>
        <v>293.33333333333837</v>
      </c>
      <c r="S147" s="62">
        <f ca="1">AVERAGE(OFFSET($R$3,0,0,'Données projet'!$E$9+1,1))-AVERAGE(OFFSET($H$3,0,0,'Données projet'!$E$9+1,1))</f>
        <v>178.42783874015521</v>
      </c>
      <c r="T147" s="62">
        <f t="shared" si="142"/>
        <v>140.03904900962556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7.5313357990462418E-2</v>
      </c>
      <c r="AB147" s="23">
        <f>EXP(-LN(2)/2)*AB146+(1-EXP(-LN(2)/2))/(LN(2)/2)*V147*Y147*VLOOKUP('Données projet'!$B$9,Paramètres!$A$1:$I$89,3,0)*0.475*44/12</f>
        <v>4.7664833068295089E-18</v>
      </c>
      <c r="AC147" s="24">
        <f t="shared" si="111"/>
        <v>7.5313357990462418E-2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216.16876563248064</v>
      </c>
      <c r="AO147" s="62">
        <f t="shared" si="144"/>
        <v>137.55906339137317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9.7981768179739206E-2</v>
      </c>
      <c r="AW147" s="23">
        <f>EXP(-LN(2)/2)*AW146+(1-EXP(-LN(2)/2))/(LN(2)/2)*AQ147*AT147*VLOOKUP('Données projet'!$B$10,Paramètres!$A$1:$I$89,3,0)*0.475*44/12</f>
        <v>3.0537981452509283E-17</v>
      </c>
      <c r="AX147" s="23">
        <f t="shared" si="114"/>
        <v>9.7981768179739234E-2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1.9895196601282805E-13</v>
      </c>
      <c r="BE147" s="14">
        <f>BD147*VLOOKUP('Données projet'!$B$11,Paramètres!$A$1:$I$89,3,0)*VLOOKUP('Données projet'!$B$11,Paramètres!$A$1:$I$89,5,0)</f>
        <v>1.3035332813160495E-13</v>
      </c>
      <c r="BF147" s="14">
        <f t="shared" si="145"/>
        <v>1.8987770485018903E-12</v>
      </c>
      <c r="BG147" s="22">
        <f t="shared" si="115"/>
        <v>3.5340687393033375E-12</v>
      </c>
      <c r="BH147" s="62">
        <f t="shared" si="116"/>
        <v>293.33333333333684</v>
      </c>
      <c r="BI147" s="62">
        <f ca="1">AVERAGE(OFFSET($BH$3,0,0,'Données projet'!$E$11+1,1))-AVERAGE(OFFSET($H$3,0,0,'Données projet'!$E$11+1,1))</f>
        <v>154.44480170404967</v>
      </c>
      <c r="BJ147" s="62">
        <f t="shared" si="146"/>
        <v>186.45728006007272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1.9895196601282805E-13</v>
      </c>
      <c r="BZ147" s="14">
        <f>BY147*VLOOKUP('Données projet'!$B$12,Paramètres!$A$1:$I$89,3,0)*VLOOKUP('Données projet'!$B$12,Paramètres!$A$1:$I$89,5,0)</f>
        <v>1.3035332813160495E-13</v>
      </c>
      <c r="CA147" s="14">
        <f t="shared" si="147"/>
        <v>1.8987770485018903E-12</v>
      </c>
      <c r="CB147" s="22">
        <f t="shared" si="118"/>
        <v>3.5340687393033375E-12</v>
      </c>
      <c r="CC147" s="62">
        <f t="shared" si="119"/>
        <v>293.33333333333684</v>
      </c>
      <c r="CD147" s="62">
        <f ca="1">AVERAGE(OFFSET($CC$3,0,0,'Données projet'!$E$12+1,1))-AVERAGE(OFFSET($H$3,0,0,'Données projet'!$E$12+1,1))</f>
        <v>154.44480170404967</v>
      </c>
      <c r="CE147" s="62">
        <f t="shared" si="148"/>
        <v>186.45728006007272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9">
        <f t="shared" si="110"/>
        <v>469.42301213183316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1.9508661353029313E-13</v>
      </c>
      <c r="P148" s="14">
        <f t="shared" si="141"/>
        <v>2.711421636700695E-12</v>
      </c>
      <c r="Q148" s="22">
        <f t="shared" si="108"/>
        <v>5.0621685358189711E-12</v>
      </c>
      <c r="R148" s="62">
        <f t="shared" si="109"/>
        <v>293.33333333333837</v>
      </c>
      <c r="S148" s="62">
        <f ca="1">AVERAGE(OFFSET($R$3,0,0,'Données projet'!$E$9+1,1))-AVERAGE(OFFSET($H$3,0,0,'Données projet'!$E$9+1,1))</f>
        <v>178.42783874015521</v>
      </c>
      <c r="T148" s="62">
        <f t="shared" si="142"/>
        <v>140.03904900962556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7.3253910255655863E-2</v>
      </c>
      <c r="AB148" s="23">
        <f>EXP(-LN(2)/2)*AB147+(1-EXP(-LN(2)/2))/(LN(2)/2)*V148*Y148*VLOOKUP('Données projet'!$B$9,Paramètres!$A$1:$I$89,3,0)*0.475*44/12</f>
        <v>3.3704126686716251E-18</v>
      </c>
      <c r="AC148" s="24">
        <f t="shared" si="111"/>
        <v>7.3253910255655863E-2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216.16876563248064</v>
      </c>
      <c r="AO148" s="62">
        <f t="shared" si="144"/>
        <v>137.55906339137317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9.5302451576226993E-2</v>
      </c>
      <c r="AW148" s="23">
        <f>EXP(-LN(2)/2)*AW147+(1-EXP(-LN(2)/2))/(LN(2)/2)*AQ148*AT148*VLOOKUP('Données projet'!$B$10,Paramètres!$A$1:$I$89,3,0)*0.475*44/12</f>
        <v>2.1593613768818329E-17</v>
      </c>
      <c r="AX148" s="23">
        <f t="shared" si="114"/>
        <v>9.5302451576227021E-2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1.9895196601282805E-13</v>
      </c>
      <c r="BE148" s="14">
        <f>BD148*VLOOKUP('Données projet'!$B$11,Paramètres!$A$1:$I$89,3,0)*VLOOKUP('Données projet'!$B$11,Paramètres!$A$1:$I$89,5,0)</f>
        <v>1.3035332813160495E-13</v>
      </c>
      <c r="BF148" s="14">
        <f t="shared" si="145"/>
        <v>1.8987770485018903E-12</v>
      </c>
      <c r="BG148" s="22">
        <f t="shared" si="115"/>
        <v>3.5340687393033375E-12</v>
      </c>
      <c r="BH148" s="62">
        <f t="shared" si="116"/>
        <v>293.33333333333684</v>
      </c>
      <c r="BI148" s="62">
        <f ca="1">AVERAGE(OFFSET($BH$3,0,0,'Données projet'!$E$11+1,1))-AVERAGE(OFFSET($H$3,0,0,'Données projet'!$E$11+1,1))</f>
        <v>154.44480170404967</v>
      </c>
      <c r="BJ148" s="62">
        <f t="shared" si="146"/>
        <v>186.45728006007272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1.9895196601282805E-13</v>
      </c>
      <c r="BZ148" s="14">
        <f>BY148*VLOOKUP('Données projet'!$B$12,Paramètres!$A$1:$I$89,3,0)*VLOOKUP('Données projet'!$B$12,Paramètres!$A$1:$I$89,5,0)</f>
        <v>1.3035332813160495E-13</v>
      </c>
      <c r="CA148" s="14">
        <f t="shared" si="147"/>
        <v>1.8987770485018903E-12</v>
      </c>
      <c r="CB148" s="22">
        <f t="shared" si="118"/>
        <v>3.5340687393033375E-12</v>
      </c>
      <c r="CC148" s="62">
        <f t="shared" si="119"/>
        <v>293.33333333333684</v>
      </c>
      <c r="CD148" s="62">
        <f ca="1">AVERAGE(OFFSET($CC$3,0,0,'Données projet'!$E$12+1,1))-AVERAGE(OFFSET($H$3,0,0,'Données projet'!$E$12+1,1))</f>
        <v>154.44480170404967</v>
      </c>
      <c r="CE148" s="62">
        <f t="shared" si="148"/>
        <v>186.45728006007272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9">
        <f t="shared" si="110"/>
        <v>470.60666358206163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1.9508661353029313E-13</v>
      </c>
      <c r="P149" s="14">
        <f t="shared" si="141"/>
        <v>2.711421636700695E-12</v>
      </c>
      <c r="Q149" s="22">
        <f t="shared" si="108"/>
        <v>5.0621685358189711E-12</v>
      </c>
      <c r="R149" s="62">
        <f t="shared" si="109"/>
        <v>293.33333333333837</v>
      </c>
      <c r="S149" s="62">
        <f ca="1">AVERAGE(OFFSET($R$3,0,0,'Données projet'!$E$9+1,1))-AVERAGE(OFFSET($H$3,0,0,'Données projet'!$E$9+1,1))</f>
        <v>178.42783874015521</v>
      </c>
      <c r="T149" s="62">
        <f t="shared" si="142"/>
        <v>140.03904900962556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7.1250778227459233E-2</v>
      </c>
      <c r="AB149" s="23">
        <f>EXP(-LN(2)/2)*AB148+(1-EXP(-LN(2)/2))/(LN(2)/2)*V149*Y149*VLOOKUP('Données projet'!$B$9,Paramètres!$A$1:$I$89,3,0)*0.475*44/12</f>
        <v>2.3832416534147548E-18</v>
      </c>
      <c r="AC149" s="24">
        <f t="shared" si="111"/>
        <v>7.1250778227459233E-2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216.16876563248064</v>
      </c>
      <c r="AO149" s="62">
        <f t="shared" si="144"/>
        <v>137.55906339137317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9.2696401026136951E-2</v>
      </c>
      <c r="AW149" s="23">
        <f>EXP(-LN(2)/2)*AW148+(1-EXP(-LN(2)/2))/(LN(2)/2)*AQ149*AT149*VLOOKUP('Données projet'!$B$10,Paramètres!$A$1:$I$89,3,0)*0.475*44/12</f>
        <v>1.5268990726254642E-17</v>
      </c>
      <c r="AX149" s="23">
        <f t="shared" si="114"/>
        <v>9.2696401026136965E-2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1.9895196601282805E-13</v>
      </c>
      <c r="BE149" s="14">
        <f>BD149*VLOOKUP('Données projet'!$B$11,Paramètres!$A$1:$I$89,3,0)*VLOOKUP('Données projet'!$B$11,Paramètres!$A$1:$I$89,5,0)</f>
        <v>1.3035332813160495E-13</v>
      </c>
      <c r="BF149" s="14">
        <f t="shared" si="145"/>
        <v>1.8987770485018903E-12</v>
      </c>
      <c r="BG149" s="22">
        <f t="shared" si="115"/>
        <v>3.5340687393033375E-12</v>
      </c>
      <c r="BH149" s="62">
        <f t="shared" si="116"/>
        <v>293.33333333333684</v>
      </c>
      <c r="BI149" s="62">
        <f ca="1">AVERAGE(OFFSET($BH$3,0,0,'Données projet'!$E$11+1,1))-AVERAGE(OFFSET($H$3,0,0,'Données projet'!$E$11+1,1))</f>
        <v>154.44480170404967</v>
      </c>
      <c r="BJ149" s="62">
        <f t="shared" si="146"/>
        <v>186.45728006007272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1.9895196601282805E-13</v>
      </c>
      <c r="BZ149" s="14">
        <f>BY149*VLOOKUP('Données projet'!$B$12,Paramètres!$A$1:$I$89,3,0)*VLOOKUP('Données projet'!$B$12,Paramètres!$A$1:$I$89,5,0)</f>
        <v>1.3035332813160495E-13</v>
      </c>
      <c r="CA149" s="14">
        <f t="shared" si="147"/>
        <v>1.8987770485018903E-12</v>
      </c>
      <c r="CB149" s="22">
        <f t="shared" si="118"/>
        <v>3.5340687393033375E-12</v>
      </c>
      <c r="CC149" s="62">
        <f t="shared" si="119"/>
        <v>293.33333333333684</v>
      </c>
      <c r="CD149" s="62">
        <f ca="1">AVERAGE(OFFSET($CC$3,0,0,'Données projet'!$E$12+1,1))-AVERAGE(OFFSET($H$3,0,0,'Données projet'!$E$12+1,1))</f>
        <v>154.44480170404967</v>
      </c>
      <c r="CE149" s="62">
        <f t="shared" si="148"/>
        <v>186.45728006007272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9">
        <f t="shared" si="110"/>
        <v>471.79012958106995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1.9508661353029313E-13</v>
      </c>
      <c r="P150" s="14">
        <f t="shared" si="141"/>
        <v>2.711421636700695E-12</v>
      </c>
      <c r="Q150" s="22">
        <f t="shared" si="108"/>
        <v>5.0621685358189711E-12</v>
      </c>
      <c r="R150" s="62">
        <f t="shared" si="109"/>
        <v>293.33333333333837</v>
      </c>
      <c r="S150" s="62">
        <f ca="1">AVERAGE(OFFSET($R$3,0,0,'Données projet'!$E$9+1,1))-AVERAGE(OFFSET($H$3,0,0,'Données projet'!$E$9+1,1))</f>
        <v>178.42783874015521</v>
      </c>
      <c r="T150" s="62">
        <f t="shared" si="142"/>
        <v>140.03904900962556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6.9302421949913776E-2</v>
      </c>
      <c r="AB150" s="23">
        <f>EXP(-LN(2)/2)*AB149+(1-EXP(-LN(2)/2))/(LN(2)/2)*V150*Y150*VLOOKUP('Données projet'!$B$9,Paramètres!$A$1:$I$89,3,0)*0.475*44/12</f>
        <v>1.6852063343358129E-18</v>
      </c>
      <c r="AC150" s="24">
        <f t="shared" si="111"/>
        <v>6.9302421949913776E-2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216.16876563248064</v>
      </c>
      <c r="AO150" s="62">
        <f t="shared" si="144"/>
        <v>137.55906339137317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9.0161613065385365E-2</v>
      </c>
      <c r="AW150" s="23">
        <f>EXP(-LN(2)/2)*AW149+(1-EXP(-LN(2)/2))/(LN(2)/2)*AQ150*AT150*VLOOKUP('Données projet'!$B$10,Paramètres!$A$1:$I$89,3,0)*0.475*44/12</f>
        <v>1.0796806884409164E-17</v>
      </c>
      <c r="AX150" s="23">
        <f t="shared" si="114"/>
        <v>9.0161613065385379E-2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1.9895196601282805E-13</v>
      </c>
      <c r="BE150" s="14">
        <f>BD150*VLOOKUP('Données projet'!$B$11,Paramètres!$A$1:$I$89,3,0)*VLOOKUP('Données projet'!$B$11,Paramètres!$A$1:$I$89,5,0)</f>
        <v>1.3035332813160495E-13</v>
      </c>
      <c r="BF150" s="14">
        <f t="shared" si="145"/>
        <v>1.8987770485018903E-12</v>
      </c>
      <c r="BG150" s="22">
        <f t="shared" si="115"/>
        <v>3.5340687393033375E-12</v>
      </c>
      <c r="BH150" s="62">
        <f t="shared" si="116"/>
        <v>293.33333333333684</v>
      </c>
      <c r="BI150" s="62">
        <f ca="1">AVERAGE(OFFSET($BH$3,0,0,'Données projet'!$E$11+1,1))-AVERAGE(OFFSET($H$3,0,0,'Données projet'!$E$11+1,1))</f>
        <v>154.44480170404967</v>
      </c>
      <c r="BJ150" s="62">
        <f t="shared" si="146"/>
        <v>186.45728006007272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1.9895196601282805E-13</v>
      </c>
      <c r="BZ150" s="14">
        <f>BY150*VLOOKUP('Données projet'!$B$12,Paramètres!$A$1:$I$89,3,0)*VLOOKUP('Données projet'!$B$12,Paramètres!$A$1:$I$89,5,0)</f>
        <v>1.3035332813160495E-13</v>
      </c>
      <c r="CA150" s="14">
        <f t="shared" si="147"/>
        <v>1.8987770485018903E-12</v>
      </c>
      <c r="CB150" s="22">
        <f t="shared" si="118"/>
        <v>3.5340687393033375E-12</v>
      </c>
      <c r="CC150" s="62">
        <f t="shared" si="119"/>
        <v>293.33333333333684</v>
      </c>
      <c r="CD150" s="62">
        <f ca="1">AVERAGE(OFFSET($CC$3,0,0,'Données projet'!$E$12+1,1))-AVERAGE(OFFSET($H$3,0,0,'Données projet'!$E$12+1,1))</f>
        <v>154.44480170404967</v>
      </c>
      <c r="CE150" s="62">
        <f t="shared" si="148"/>
        <v>186.45728006007272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9">
        <f t="shared" si="110"/>
        <v>472.9734115367425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1.9508661353029313E-13</v>
      </c>
      <c r="P151" s="14">
        <f t="shared" si="141"/>
        <v>2.711421636700695E-12</v>
      </c>
      <c r="Q151" s="22">
        <f t="shared" si="108"/>
        <v>5.0621685358189711E-12</v>
      </c>
      <c r="R151" s="62">
        <f t="shared" si="109"/>
        <v>293.33333333333837</v>
      </c>
      <c r="S151" s="62">
        <f ca="1">AVERAGE(OFFSET($R$3,0,0,'Données projet'!$E$9+1,1))-AVERAGE(OFFSET($H$3,0,0,'Données projet'!$E$9+1,1))</f>
        <v>178.42783874015521</v>
      </c>
      <c r="T151" s="62">
        <f t="shared" si="142"/>
        <v>140.03904900962556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6.7407343577237405E-2</v>
      </c>
      <c r="AB151" s="23">
        <f>EXP(-LN(2)/2)*AB150+(1-EXP(-LN(2)/2))/(LN(2)/2)*V151*Y151*VLOOKUP('Données projet'!$B$9,Paramètres!$A$1:$I$89,3,0)*0.475*44/12</f>
        <v>1.1916208267073776E-18</v>
      </c>
      <c r="AC151" s="24">
        <f t="shared" si="111"/>
        <v>6.7407343577237405E-2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216.16876563248064</v>
      </c>
      <c r="AO151" s="62">
        <f t="shared" si="144"/>
        <v>137.55906339137317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8.7696139014719232E-2</v>
      </c>
      <c r="AW151" s="23">
        <f>EXP(-LN(2)/2)*AW150+(1-EXP(-LN(2)/2))/(LN(2)/2)*AQ151*AT151*VLOOKUP('Données projet'!$B$10,Paramètres!$A$1:$I$89,3,0)*0.475*44/12</f>
        <v>7.6344953631273208E-18</v>
      </c>
      <c r="AX151" s="23">
        <f t="shared" si="114"/>
        <v>8.7696139014719246E-2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1.9895196601282805E-13</v>
      </c>
      <c r="BE151" s="14">
        <f>BD151*VLOOKUP('Données projet'!$B$11,Paramètres!$A$1:$I$89,3,0)*VLOOKUP('Données projet'!$B$11,Paramètres!$A$1:$I$89,5,0)</f>
        <v>1.3035332813160495E-13</v>
      </c>
      <c r="BF151" s="14">
        <f t="shared" si="145"/>
        <v>1.8987770485018903E-12</v>
      </c>
      <c r="BG151" s="22">
        <f t="shared" si="115"/>
        <v>3.5340687393033375E-12</v>
      </c>
      <c r="BH151" s="62">
        <f t="shared" si="116"/>
        <v>293.33333333333684</v>
      </c>
      <c r="BI151" s="62">
        <f ca="1">AVERAGE(OFFSET($BH$3,0,0,'Données projet'!$E$11+1,1))-AVERAGE(OFFSET($H$3,0,0,'Données projet'!$E$11+1,1))</f>
        <v>154.44480170404967</v>
      </c>
      <c r="BJ151" s="62">
        <f t="shared" si="146"/>
        <v>186.45728006007272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1.9895196601282805E-13</v>
      </c>
      <c r="BZ151" s="14">
        <f>BY151*VLOOKUP('Données projet'!$B$12,Paramètres!$A$1:$I$89,3,0)*VLOOKUP('Données projet'!$B$12,Paramètres!$A$1:$I$89,5,0)</f>
        <v>1.3035332813160495E-13</v>
      </c>
      <c r="CA151" s="14">
        <f t="shared" si="147"/>
        <v>1.8987770485018903E-12</v>
      </c>
      <c r="CB151" s="22">
        <f t="shared" si="118"/>
        <v>3.5340687393033375E-12</v>
      </c>
      <c r="CC151" s="62">
        <f t="shared" si="119"/>
        <v>293.33333333333684</v>
      </c>
      <c r="CD151" s="62">
        <f ca="1">AVERAGE(OFFSET($CC$3,0,0,'Données projet'!$E$12+1,1))-AVERAGE(OFFSET($H$3,0,0,'Données projet'!$E$12+1,1))</f>
        <v>154.44480170404967</v>
      </c>
      <c r="CE151" s="62">
        <f t="shared" si="148"/>
        <v>186.45728006007272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9">
        <f t="shared" si="110"/>
        <v>474.15651083683827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1.9508661353029313E-13</v>
      </c>
      <c r="P152" s="14">
        <f t="shared" si="141"/>
        <v>2.711421636700695E-12</v>
      </c>
      <c r="Q152" s="22">
        <f t="shared" si="108"/>
        <v>5.0621685358189711E-12</v>
      </c>
      <c r="R152" s="62">
        <f t="shared" si="109"/>
        <v>293.33333333333837</v>
      </c>
      <c r="S152" s="62">
        <f ca="1">AVERAGE(OFFSET($R$3,0,0,'Données projet'!$E$9+1,1))-AVERAGE(OFFSET($H$3,0,0,'Données projet'!$E$9+1,1))</f>
        <v>178.42783874015521</v>
      </c>
      <c r="T152" s="62">
        <f t="shared" si="142"/>
        <v>140.03904900962556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6.5564086222319712E-2</v>
      </c>
      <c r="AB152" s="23">
        <f>EXP(-LN(2)/2)*AB151+(1-EXP(-LN(2)/2))/(LN(2)/2)*V152*Y152*VLOOKUP('Données projet'!$B$9,Paramètres!$A$1:$I$89,3,0)*0.475*44/12</f>
        <v>8.4260316716790657E-19</v>
      </c>
      <c r="AC152" s="24">
        <f t="shared" si="111"/>
        <v>6.5564086222319712E-2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216.16876563248064</v>
      </c>
      <c r="AO152" s="62">
        <f t="shared" si="144"/>
        <v>137.55906339137317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8.5298083481622211E-2</v>
      </c>
      <c r="AW152" s="23">
        <f>EXP(-LN(2)/2)*AW151+(1-EXP(-LN(2)/2))/(LN(2)/2)*AQ152*AT152*VLOOKUP('Données projet'!$B$10,Paramètres!$A$1:$I$89,3,0)*0.475*44/12</f>
        <v>5.3984034422045822E-18</v>
      </c>
      <c r="AX152" s="23">
        <f t="shared" si="114"/>
        <v>8.5298083481622211E-2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1.9895196601282805E-13</v>
      </c>
      <c r="BE152" s="14">
        <f>BD152*VLOOKUP('Données projet'!$B$11,Paramètres!$A$1:$I$89,3,0)*VLOOKUP('Données projet'!$B$11,Paramètres!$A$1:$I$89,5,0)</f>
        <v>1.3035332813160495E-13</v>
      </c>
      <c r="BF152" s="14">
        <f t="shared" si="145"/>
        <v>1.8987770485018903E-12</v>
      </c>
      <c r="BG152" s="22">
        <f t="shared" si="115"/>
        <v>3.5340687393033375E-12</v>
      </c>
      <c r="BH152" s="62">
        <f t="shared" si="116"/>
        <v>293.33333333333684</v>
      </c>
      <c r="BI152" s="62">
        <f ca="1">AVERAGE(OFFSET($BH$3,0,0,'Données projet'!$E$11+1,1))-AVERAGE(OFFSET($H$3,0,0,'Données projet'!$E$11+1,1))</f>
        <v>154.44480170404967</v>
      </c>
      <c r="BJ152" s="62">
        <f t="shared" si="146"/>
        <v>186.45728006007272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1.9895196601282805E-13</v>
      </c>
      <c r="BZ152" s="14">
        <f>BY152*VLOOKUP('Données projet'!$B$12,Paramètres!$A$1:$I$89,3,0)*VLOOKUP('Données projet'!$B$12,Paramètres!$A$1:$I$89,5,0)</f>
        <v>1.3035332813160495E-13</v>
      </c>
      <c r="CA152" s="14">
        <f t="shared" si="147"/>
        <v>1.8987770485018903E-12</v>
      </c>
      <c r="CB152" s="22">
        <f t="shared" si="118"/>
        <v>3.5340687393033375E-12</v>
      </c>
      <c r="CC152" s="62">
        <f t="shared" si="119"/>
        <v>293.33333333333684</v>
      </c>
      <c r="CD152" s="62">
        <f ca="1">AVERAGE(OFFSET($CC$3,0,0,'Données projet'!$E$12+1,1))-AVERAGE(OFFSET($H$3,0,0,'Données projet'!$E$12+1,1))</f>
        <v>154.44480170404967</v>
      </c>
      <c r="CE152" s="62">
        <f t="shared" si="148"/>
        <v>186.45728006007272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9">
        <f t="shared" si="110"/>
        <v>475.33942884941183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1.9508661353029313E-13</v>
      </c>
      <c r="P153" s="14">
        <f t="shared" si="141"/>
        <v>2.711421636700695E-12</v>
      </c>
      <c r="Q153" s="22">
        <f t="shared" si="108"/>
        <v>5.0621685358189711E-12</v>
      </c>
      <c r="R153" s="62">
        <f t="shared" si="109"/>
        <v>293.33333333333837</v>
      </c>
      <c r="S153" s="62">
        <f ca="1">AVERAGE(OFFSET($R$3,0,0,'Données projet'!$E$9+1,1))-AVERAGE(OFFSET($H$3,0,0,'Données projet'!$E$9+1,1))</f>
        <v>178.42783874015521</v>
      </c>
      <c r="T153" s="62">
        <f t="shared" si="142"/>
        <v>140.03904900962556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6.3771232836704939E-2</v>
      </c>
      <c r="AB153" s="23">
        <f>EXP(-LN(2)/2)*AB152+(1-EXP(-LN(2)/2))/(LN(2)/2)*V153*Y153*VLOOKUP('Données projet'!$B$9,Paramètres!$A$1:$I$89,3,0)*0.475*44/12</f>
        <v>5.958104133536889E-19</v>
      </c>
      <c r="AC153" s="24">
        <f t="shared" si="111"/>
        <v>6.3771232836704939E-2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216.16876563248064</v>
      </c>
      <c r="AO153" s="62">
        <f t="shared" si="144"/>
        <v>137.55906339137317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8.2965602903185998E-2</v>
      </c>
      <c r="AW153" s="23">
        <f>EXP(-LN(2)/2)*AW152+(1-EXP(-LN(2)/2))/(LN(2)/2)*AQ153*AT153*VLOOKUP('Données projet'!$B$10,Paramètres!$A$1:$I$89,3,0)*0.475*44/12</f>
        <v>3.8172476815636604E-18</v>
      </c>
      <c r="AX153" s="23">
        <f t="shared" si="114"/>
        <v>8.2965602903185998E-2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1.9895196601282805E-13</v>
      </c>
      <c r="BE153" s="14">
        <f>BD153*VLOOKUP('Données projet'!$B$11,Paramètres!$A$1:$I$89,3,0)*VLOOKUP('Données projet'!$B$11,Paramètres!$A$1:$I$89,5,0)</f>
        <v>1.3035332813160495E-13</v>
      </c>
      <c r="BF153" s="14">
        <f t="shared" si="145"/>
        <v>1.8987770485018903E-12</v>
      </c>
      <c r="BG153" s="22">
        <f t="shared" si="115"/>
        <v>3.5340687393033375E-12</v>
      </c>
      <c r="BH153" s="62">
        <f t="shared" si="116"/>
        <v>293.33333333333684</v>
      </c>
      <c r="BI153" s="62">
        <f ca="1">AVERAGE(OFFSET($BH$3,0,0,'Données projet'!$E$11+1,1))-AVERAGE(OFFSET($H$3,0,0,'Données projet'!$E$11+1,1))</f>
        <v>154.44480170404967</v>
      </c>
      <c r="BJ153" s="62">
        <f t="shared" si="146"/>
        <v>186.45728006007272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1.9895196601282805E-13</v>
      </c>
      <c r="BZ153" s="14">
        <f>BY153*VLOOKUP('Données projet'!$B$12,Paramètres!$A$1:$I$89,3,0)*VLOOKUP('Données projet'!$B$12,Paramètres!$A$1:$I$89,5,0)</f>
        <v>1.3035332813160495E-13</v>
      </c>
      <c r="CA153" s="14">
        <f t="shared" si="147"/>
        <v>1.8987770485018903E-12</v>
      </c>
      <c r="CB153" s="22">
        <f t="shared" si="118"/>
        <v>3.5340687393033375E-12</v>
      </c>
      <c r="CC153" s="62">
        <f t="shared" si="119"/>
        <v>293.33333333333684</v>
      </c>
      <c r="CD153" s="62">
        <f ca="1">AVERAGE(OFFSET($CC$3,0,0,'Données projet'!$E$12+1,1))-AVERAGE(OFFSET($H$3,0,0,'Données projet'!$E$12+1,1))</f>
        <v>154.44480170404967</v>
      </c>
      <c r="CE153" s="62">
        <f t="shared" si="148"/>
        <v>186.45728006007272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9">
        <f t="shared" si="110"/>
        <v>476.52216692322241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1.9508661353029313E-13</v>
      </c>
      <c r="P154" s="14">
        <f t="shared" si="141"/>
        <v>2.711421636700695E-12</v>
      </c>
      <c r="Q154" s="22">
        <f t="shared" ref="Q154:Q203" si="162">(O154+P154)*0.475*44/12</f>
        <v>5.0621685358189711E-12</v>
      </c>
      <c r="R154" s="62">
        <f t="shared" si="109"/>
        <v>293.33333333333837</v>
      </c>
      <c r="S154" s="62">
        <f ca="1">AVERAGE(OFFSET($R$3,0,0,'Données projet'!$E$9+1,1))-AVERAGE(OFFSET($H$3,0,0,'Données projet'!$E$9+1,1))</f>
        <v>178.42783874015521</v>
      </c>
      <c r="T154" s="62">
        <f t="shared" si="142"/>
        <v>140.03904900962556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6.2027405121201855E-2</v>
      </c>
      <c r="AB154" s="23">
        <f>EXP(-LN(2)/2)*AB153+(1-EXP(-LN(2)/2))/(LN(2)/2)*V154*Y154*VLOOKUP('Données projet'!$B$9,Paramètres!$A$1:$I$89,3,0)*0.475*44/12</f>
        <v>4.2130158358395338E-19</v>
      </c>
      <c r="AC154" s="24">
        <f t="shared" ref="AC154:AC203" si="163">SUM(Z154:AB154)</f>
        <v>6.2027405121201855E-2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216.16876563248064</v>
      </c>
      <c r="AO154" s="62">
        <f t="shared" si="144"/>
        <v>137.55906339137317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8.0696904128826935E-2</v>
      </c>
      <c r="AW154" s="23">
        <f>EXP(-LN(2)/2)*AW153+(1-EXP(-LN(2)/2))/(LN(2)/2)*AQ154*AT154*VLOOKUP('Données projet'!$B$10,Paramètres!$A$1:$I$89,3,0)*0.475*44/12</f>
        <v>2.6992017211022911E-18</v>
      </c>
      <c r="AX154" s="23">
        <f t="shared" ref="AX154:AX203" si="166">SUM(AU154:AW154)</f>
        <v>8.0696904128826935E-2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1.9895196601282805E-13</v>
      </c>
      <c r="BE154" s="14">
        <f>BD154*VLOOKUP('Données projet'!$B$11,Paramètres!$A$1:$I$89,3,0)*VLOOKUP('Données projet'!$B$11,Paramètres!$A$1:$I$89,5,0)</f>
        <v>1.3035332813160495E-13</v>
      </c>
      <c r="BF154" s="14">
        <f t="shared" ref="BF154:BF203" si="167">EXP(-1.0587+0.8836*LN(BE154)+0.284)</f>
        <v>1.8987770485018903E-12</v>
      </c>
      <c r="BG154" s="22">
        <f t="shared" ref="BG154:BG203" si="168">(BE154+BF154)*0.475*44/12</f>
        <v>3.5340687393033375E-12</v>
      </c>
      <c r="BH154" s="62">
        <f t="shared" si="116"/>
        <v>293.33333333333684</v>
      </c>
      <c r="BI154" s="62">
        <f ca="1">AVERAGE(OFFSET($BH$3,0,0,'Données projet'!$E$11+1,1))-AVERAGE(OFFSET($H$3,0,0,'Données projet'!$E$11+1,1))</f>
        <v>154.44480170404967</v>
      </c>
      <c r="BJ154" s="62">
        <f t="shared" si="146"/>
        <v>186.45728006007272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1.9895196601282805E-13</v>
      </c>
      <c r="BZ154" s="14">
        <f>BY154*VLOOKUP('Données projet'!$B$12,Paramètres!$A$1:$I$89,3,0)*VLOOKUP('Données projet'!$B$12,Paramètres!$A$1:$I$89,5,0)</f>
        <v>1.3035332813160495E-13</v>
      </c>
      <c r="CA154" s="14">
        <f t="shared" ref="CA154:CA203" si="170">EXP(-1.0587+0.8836*LN(BZ154)+0.284)</f>
        <v>1.8987770485018903E-12</v>
      </c>
      <c r="CB154" s="22">
        <f t="shared" ref="CB154:CB203" si="171">(BZ154+CA154)*0.475*44/12</f>
        <v>3.5340687393033375E-12</v>
      </c>
      <c r="CC154" s="62">
        <f t="shared" si="119"/>
        <v>293.33333333333684</v>
      </c>
      <c r="CD154" s="62">
        <f ca="1">AVERAGE(OFFSET($CC$3,0,0,'Données projet'!$E$12+1,1))-AVERAGE(OFFSET($H$3,0,0,'Données projet'!$E$12+1,1))</f>
        <v>154.44480170404967</v>
      </c>
      <c r="CE154" s="62">
        <f t="shared" si="148"/>
        <v>186.45728006007272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9">
        <f t="shared" si="110"/>
        <v>477.70472638813214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1.9508661353029313E-13</v>
      </c>
      <c r="P155" s="14">
        <f t="shared" si="141"/>
        <v>2.711421636700695E-12</v>
      </c>
      <c r="Q155" s="22">
        <f t="shared" si="162"/>
        <v>5.0621685358189711E-12</v>
      </c>
      <c r="R155" s="62">
        <f t="shared" si="109"/>
        <v>293.33333333333837</v>
      </c>
      <c r="S155" s="62">
        <f ca="1">AVERAGE(OFFSET($R$3,0,0,'Données projet'!$E$9+1,1))-AVERAGE(OFFSET($H$3,0,0,'Données projet'!$E$9+1,1))</f>
        <v>178.42783874015521</v>
      </c>
      <c r="T155" s="62">
        <f t="shared" si="142"/>
        <v>140.03904900962556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6.033126246628312E-2</v>
      </c>
      <c r="AB155" s="23">
        <f>EXP(-LN(2)/2)*AB154+(1-EXP(-LN(2)/2))/(LN(2)/2)*V155*Y155*VLOOKUP('Données projet'!$B$9,Paramètres!$A$1:$I$89,3,0)*0.475*44/12</f>
        <v>2.979052066768445E-19</v>
      </c>
      <c r="AC155" s="24">
        <f t="shared" si="163"/>
        <v>6.033126246628312E-2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216.16876563248064</v>
      </c>
      <c r="AO155" s="62">
        <f t="shared" si="144"/>
        <v>137.55906339137317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7.8490243041758403E-2</v>
      </c>
      <c r="AW155" s="23">
        <f>EXP(-LN(2)/2)*AW154+(1-EXP(-LN(2)/2))/(LN(2)/2)*AQ155*AT155*VLOOKUP('Données projet'!$B$10,Paramètres!$A$1:$I$89,3,0)*0.475*44/12</f>
        <v>1.9086238407818302E-18</v>
      </c>
      <c r="AX155" s="23">
        <f t="shared" si="166"/>
        <v>7.8490243041758403E-2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1.9895196601282805E-13</v>
      </c>
      <c r="BE155" s="14">
        <f>BD155*VLOOKUP('Données projet'!$B$11,Paramètres!$A$1:$I$89,3,0)*VLOOKUP('Données projet'!$B$11,Paramètres!$A$1:$I$89,5,0)</f>
        <v>1.3035332813160495E-13</v>
      </c>
      <c r="BF155" s="14">
        <f t="shared" si="167"/>
        <v>1.8987770485018903E-12</v>
      </c>
      <c r="BG155" s="22">
        <f t="shared" si="168"/>
        <v>3.5340687393033375E-12</v>
      </c>
      <c r="BH155" s="62">
        <f t="shared" si="116"/>
        <v>293.33333333333684</v>
      </c>
      <c r="BI155" s="62">
        <f ca="1">AVERAGE(OFFSET($BH$3,0,0,'Données projet'!$E$11+1,1))-AVERAGE(OFFSET($H$3,0,0,'Données projet'!$E$11+1,1))</f>
        <v>154.44480170404967</v>
      </c>
      <c r="BJ155" s="62">
        <f t="shared" si="146"/>
        <v>186.45728006007272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1.9895196601282805E-13</v>
      </c>
      <c r="BZ155" s="14">
        <f>BY155*VLOOKUP('Données projet'!$B$12,Paramètres!$A$1:$I$89,3,0)*VLOOKUP('Données projet'!$B$12,Paramètres!$A$1:$I$89,5,0)</f>
        <v>1.3035332813160495E-13</v>
      </c>
      <c r="CA155" s="14">
        <f t="shared" si="170"/>
        <v>1.8987770485018903E-12</v>
      </c>
      <c r="CB155" s="22">
        <f t="shared" si="171"/>
        <v>3.5340687393033375E-12</v>
      </c>
      <c r="CC155" s="62">
        <f t="shared" si="119"/>
        <v>293.33333333333684</v>
      </c>
      <c r="CD155" s="62">
        <f ca="1">AVERAGE(OFFSET($CC$3,0,0,'Données projet'!$E$12+1,1))-AVERAGE(OFFSET($H$3,0,0,'Données projet'!$E$12+1,1))</f>
        <v>154.44480170404967</v>
      </c>
      <c r="CE155" s="62">
        <f t="shared" si="148"/>
        <v>186.45728006007272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9">
        <f t="shared" si="110"/>
        <v>478.88710855549317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1.9508661353029313E-13</v>
      </c>
      <c r="P156" s="14">
        <f t="shared" si="141"/>
        <v>2.711421636700695E-12</v>
      </c>
      <c r="Q156" s="22">
        <f t="shared" si="162"/>
        <v>5.0621685358189711E-12</v>
      </c>
      <c r="R156" s="62">
        <f t="shared" si="109"/>
        <v>293.33333333333837</v>
      </c>
      <c r="S156" s="62">
        <f ca="1">AVERAGE(OFFSET($R$3,0,0,'Données projet'!$E$9+1,1))-AVERAGE(OFFSET($H$3,0,0,'Données projet'!$E$9+1,1))</f>
        <v>178.42783874015521</v>
      </c>
      <c r="T156" s="62">
        <f t="shared" si="142"/>
        <v>140.03904900962556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5.8681500921459406E-2</v>
      </c>
      <c r="AB156" s="23">
        <f>EXP(-LN(2)/2)*AB155+(1-EXP(-LN(2)/2))/(LN(2)/2)*V156*Y156*VLOOKUP('Données projet'!$B$9,Paramètres!$A$1:$I$89,3,0)*0.475*44/12</f>
        <v>2.1065079179197671E-19</v>
      </c>
      <c r="AC156" s="24">
        <f t="shared" si="163"/>
        <v>5.8681500921459406E-2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216.16876563248064</v>
      </c>
      <c r="AO156" s="62">
        <f t="shared" si="144"/>
        <v>137.55906339137317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7.6343923218159027E-2</v>
      </c>
      <c r="AW156" s="23">
        <f>EXP(-LN(2)/2)*AW155+(1-EXP(-LN(2)/2))/(LN(2)/2)*AQ156*AT156*VLOOKUP('Données projet'!$B$10,Paramètres!$A$1:$I$89,3,0)*0.475*44/12</f>
        <v>1.3496008605511455E-18</v>
      </c>
      <c r="AX156" s="23">
        <f t="shared" si="166"/>
        <v>7.6343923218159027E-2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1.9895196601282805E-13</v>
      </c>
      <c r="BE156" s="14">
        <f>BD156*VLOOKUP('Données projet'!$B$11,Paramètres!$A$1:$I$89,3,0)*VLOOKUP('Données projet'!$B$11,Paramètres!$A$1:$I$89,5,0)</f>
        <v>1.3035332813160495E-13</v>
      </c>
      <c r="BF156" s="14">
        <f t="shared" si="167"/>
        <v>1.8987770485018903E-12</v>
      </c>
      <c r="BG156" s="22">
        <f t="shared" si="168"/>
        <v>3.5340687393033375E-12</v>
      </c>
      <c r="BH156" s="62">
        <f t="shared" si="116"/>
        <v>293.33333333333684</v>
      </c>
      <c r="BI156" s="62">
        <f ca="1">AVERAGE(OFFSET($BH$3,0,0,'Données projet'!$E$11+1,1))-AVERAGE(OFFSET($H$3,0,0,'Données projet'!$E$11+1,1))</f>
        <v>154.44480170404967</v>
      </c>
      <c r="BJ156" s="62">
        <f t="shared" si="146"/>
        <v>186.45728006007272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1.9895196601282805E-13</v>
      </c>
      <c r="BZ156" s="14">
        <f>BY156*VLOOKUP('Données projet'!$B$12,Paramètres!$A$1:$I$89,3,0)*VLOOKUP('Données projet'!$B$12,Paramètres!$A$1:$I$89,5,0)</f>
        <v>1.3035332813160495E-13</v>
      </c>
      <c r="CA156" s="14">
        <f t="shared" si="170"/>
        <v>1.8987770485018903E-12</v>
      </c>
      <c r="CB156" s="22">
        <f t="shared" si="171"/>
        <v>3.5340687393033375E-12</v>
      </c>
      <c r="CC156" s="62">
        <f t="shared" si="119"/>
        <v>293.33333333333684</v>
      </c>
      <c r="CD156" s="62">
        <f ca="1">AVERAGE(OFFSET($CC$3,0,0,'Données projet'!$E$12+1,1))-AVERAGE(OFFSET($H$3,0,0,'Données projet'!$E$12+1,1))</f>
        <v>154.44480170404967</v>
      </c>
      <c r="CE156" s="62">
        <f t="shared" si="148"/>
        <v>186.45728006007272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9">
        <f t="shared" si="110"/>
        <v>480.06931471852465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1.9508661353029313E-13</v>
      </c>
      <c r="P157" s="14">
        <f t="shared" si="141"/>
        <v>2.711421636700695E-12</v>
      </c>
      <c r="Q157" s="22">
        <f t="shared" si="162"/>
        <v>5.0621685358189711E-12</v>
      </c>
      <c r="R157" s="62">
        <f t="shared" si="109"/>
        <v>293.33333333333837</v>
      </c>
      <c r="S157" s="62">
        <f ca="1">AVERAGE(OFFSET($R$3,0,0,'Données projet'!$E$9+1,1))-AVERAGE(OFFSET($H$3,0,0,'Données projet'!$E$9+1,1))</f>
        <v>178.42783874015521</v>
      </c>
      <c r="T157" s="62">
        <f t="shared" si="142"/>
        <v>140.03904900962556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5.7076852192836085E-2</v>
      </c>
      <c r="AB157" s="23">
        <f>EXP(-LN(2)/2)*AB156+(1-EXP(-LN(2)/2))/(LN(2)/2)*V157*Y157*VLOOKUP('Données projet'!$B$9,Paramètres!$A$1:$I$89,3,0)*0.475*44/12</f>
        <v>1.4895260333842227E-19</v>
      </c>
      <c r="AC157" s="24">
        <f t="shared" si="163"/>
        <v>5.7076852192836085E-2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216.16876563248064</v>
      </c>
      <c r="AO157" s="62">
        <f t="shared" si="144"/>
        <v>137.55906339137317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7.4256294623006036E-2</v>
      </c>
      <c r="AW157" s="23">
        <f>EXP(-LN(2)/2)*AW156+(1-EXP(-LN(2)/2))/(LN(2)/2)*AQ157*AT157*VLOOKUP('Données projet'!$B$10,Paramètres!$A$1:$I$89,3,0)*0.475*44/12</f>
        <v>9.543119203909151E-19</v>
      </c>
      <c r="AX157" s="23">
        <f t="shared" si="166"/>
        <v>7.4256294623006036E-2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1.9895196601282805E-13</v>
      </c>
      <c r="BE157" s="14">
        <f>BD157*VLOOKUP('Données projet'!$B$11,Paramètres!$A$1:$I$89,3,0)*VLOOKUP('Données projet'!$B$11,Paramètres!$A$1:$I$89,5,0)</f>
        <v>1.3035332813160495E-13</v>
      </c>
      <c r="BF157" s="14">
        <f t="shared" si="167"/>
        <v>1.8987770485018903E-12</v>
      </c>
      <c r="BG157" s="22">
        <f t="shared" si="168"/>
        <v>3.5340687393033375E-12</v>
      </c>
      <c r="BH157" s="62">
        <f t="shared" si="116"/>
        <v>293.33333333333684</v>
      </c>
      <c r="BI157" s="62">
        <f ca="1">AVERAGE(OFFSET($BH$3,0,0,'Données projet'!$E$11+1,1))-AVERAGE(OFFSET($H$3,0,0,'Données projet'!$E$11+1,1))</f>
        <v>154.44480170404967</v>
      </c>
      <c r="BJ157" s="62">
        <f t="shared" si="146"/>
        <v>186.45728006007272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1.9895196601282805E-13</v>
      </c>
      <c r="BZ157" s="14">
        <f>BY157*VLOOKUP('Données projet'!$B$12,Paramètres!$A$1:$I$89,3,0)*VLOOKUP('Données projet'!$B$12,Paramètres!$A$1:$I$89,5,0)</f>
        <v>1.3035332813160495E-13</v>
      </c>
      <c r="CA157" s="14">
        <f t="shared" si="170"/>
        <v>1.8987770485018903E-12</v>
      </c>
      <c r="CB157" s="22">
        <f t="shared" si="171"/>
        <v>3.5340687393033375E-12</v>
      </c>
      <c r="CC157" s="62">
        <f t="shared" si="119"/>
        <v>293.33333333333684</v>
      </c>
      <c r="CD157" s="62">
        <f ca="1">AVERAGE(OFFSET($CC$3,0,0,'Données projet'!$E$12+1,1))-AVERAGE(OFFSET($H$3,0,0,'Données projet'!$E$12+1,1))</f>
        <v>154.44480170404967</v>
      </c>
      <c r="CE157" s="62">
        <f t="shared" si="148"/>
        <v>186.45728006007272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9">
        <f t="shared" si="110"/>
        <v>481.25134615267967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1.9508661353029313E-13</v>
      </c>
      <c r="P158" s="14">
        <f t="shared" si="141"/>
        <v>2.711421636700695E-12</v>
      </c>
      <c r="Q158" s="22">
        <f t="shared" si="162"/>
        <v>5.0621685358189711E-12</v>
      </c>
      <c r="R158" s="62">
        <f t="shared" si="109"/>
        <v>293.33333333333837</v>
      </c>
      <c r="S158" s="62">
        <f ca="1">AVERAGE(OFFSET($R$3,0,0,'Données projet'!$E$9+1,1))-AVERAGE(OFFSET($H$3,0,0,'Données projet'!$E$9+1,1))</f>
        <v>178.42783874015521</v>
      </c>
      <c r="T158" s="62">
        <f t="shared" si="142"/>
        <v>140.03904900962556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5.5516082668081779E-2</v>
      </c>
      <c r="AB158" s="23">
        <f>EXP(-LN(2)/2)*AB157+(1-EXP(-LN(2)/2))/(LN(2)/2)*V158*Y158*VLOOKUP('Données projet'!$B$9,Paramètres!$A$1:$I$89,3,0)*0.475*44/12</f>
        <v>1.0532539589598837E-19</v>
      </c>
      <c r="AC158" s="24">
        <f t="shared" si="163"/>
        <v>5.5516082668081779E-2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216.16876563248064</v>
      </c>
      <c r="AO158" s="62">
        <f t="shared" si="144"/>
        <v>137.55906339137317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7.2225752341571123E-2</v>
      </c>
      <c r="AW158" s="23">
        <f>EXP(-LN(2)/2)*AW157+(1-EXP(-LN(2)/2))/(LN(2)/2)*AQ158*AT158*VLOOKUP('Données projet'!$B$10,Paramètres!$A$1:$I$89,3,0)*0.475*44/12</f>
        <v>6.7480043027557277E-19</v>
      </c>
      <c r="AX158" s="23">
        <f t="shared" si="166"/>
        <v>7.2225752341571123E-2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1.9895196601282805E-13</v>
      </c>
      <c r="BE158" s="14">
        <f>BD158*VLOOKUP('Données projet'!$B$11,Paramètres!$A$1:$I$89,3,0)*VLOOKUP('Données projet'!$B$11,Paramètres!$A$1:$I$89,5,0)</f>
        <v>1.3035332813160495E-13</v>
      </c>
      <c r="BF158" s="14">
        <f t="shared" si="167"/>
        <v>1.8987770485018903E-12</v>
      </c>
      <c r="BG158" s="22">
        <f t="shared" si="168"/>
        <v>3.5340687393033375E-12</v>
      </c>
      <c r="BH158" s="62">
        <f t="shared" si="116"/>
        <v>293.33333333333684</v>
      </c>
      <c r="BI158" s="62">
        <f ca="1">AVERAGE(OFFSET($BH$3,0,0,'Données projet'!$E$11+1,1))-AVERAGE(OFFSET($H$3,0,0,'Données projet'!$E$11+1,1))</f>
        <v>154.44480170404967</v>
      </c>
      <c r="BJ158" s="62">
        <f t="shared" si="146"/>
        <v>186.45728006007272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1.9895196601282805E-13</v>
      </c>
      <c r="BZ158" s="14">
        <f>BY158*VLOOKUP('Données projet'!$B$12,Paramètres!$A$1:$I$89,3,0)*VLOOKUP('Données projet'!$B$12,Paramètres!$A$1:$I$89,5,0)</f>
        <v>1.3035332813160495E-13</v>
      </c>
      <c r="CA158" s="14">
        <f t="shared" si="170"/>
        <v>1.8987770485018903E-12</v>
      </c>
      <c r="CB158" s="22">
        <f t="shared" si="171"/>
        <v>3.5340687393033375E-12</v>
      </c>
      <c r="CC158" s="62">
        <f t="shared" si="119"/>
        <v>293.33333333333684</v>
      </c>
      <c r="CD158" s="62">
        <f ca="1">AVERAGE(OFFSET($CC$3,0,0,'Données projet'!$E$12+1,1))-AVERAGE(OFFSET($H$3,0,0,'Données projet'!$E$12+1,1))</f>
        <v>154.44480170404967</v>
      </c>
      <c r="CE158" s="62">
        <f t="shared" si="148"/>
        <v>186.45728006007272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9">
        <f t="shared" si="110"/>
        <v>482.433204116002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1.9508661353029313E-13</v>
      </c>
      <c r="P159" s="14">
        <f t="shared" si="141"/>
        <v>2.711421636700695E-12</v>
      </c>
      <c r="Q159" s="22">
        <f t="shared" si="162"/>
        <v>5.0621685358189711E-12</v>
      </c>
      <c r="R159" s="62">
        <f t="shared" si="109"/>
        <v>293.33333333333837</v>
      </c>
      <c r="S159" s="62">
        <f ca="1">AVERAGE(OFFSET($R$3,0,0,'Données projet'!$E$9+1,1))-AVERAGE(OFFSET($H$3,0,0,'Données projet'!$E$9+1,1))</f>
        <v>178.42783874015521</v>
      </c>
      <c r="T159" s="62">
        <f t="shared" si="142"/>
        <v>140.03904900962556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5.3997992468059176E-2</v>
      </c>
      <c r="AB159" s="23">
        <f>EXP(-LN(2)/2)*AB158+(1-EXP(-LN(2)/2))/(LN(2)/2)*V159*Y159*VLOOKUP('Données projet'!$B$9,Paramètres!$A$1:$I$89,3,0)*0.475*44/12</f>
        <v>7.4476301669211149E-20</v>
      </c>
      <c r="AC159" s="24">
        <f t="shared" si="163"/>
        <v>5.3997992468059176E-2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216.16876563248064</v>
      </c>
      <c r="AO159" s="62">
        <f t="shared" si="144"/>
        <v>137.55906339137317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7.0250735345603624E-2</v>
      </c>
      <c r="AW159" s="23">
        <f>EXP(-LN(2)/2)*AW158+(1-EXP(-LN(2)/2))/(LN(2)/2)*AQ159*AT159*VLOOKUP('Données projet'!$B$10,Paramètres!$A$1:$I$89,3,0)*0.475*44/12</f>
        <v>4.7715596019545755E-19</v>
      </c>
      <c r="AX159" s="23">
        <f t="shared" si="166"/>
        <v>7.0250735345603624E-2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1.9895196601282805E-13</v>
      </c>
      <c r="BE159" s="14">
        <f>BD159*VLOOKUP('Données projet'!$B$11,Paramètres!$A$1:$I$89,3,0)*VLOOKUP('Données projet'!$B$11,Paramètres!$A$1:$I$89,5,0)</f>
        <v>1.3035332813160495E-13</v>
      </c>
      <c r="BF159" s="14">
        <f t="shared" si="167"/>
        <v>1.8987770485018903E-12</v>
      </c>
      <c r="BG159" s="22">
        <f t="shared" si="168"/>
        <v>3.5340687393033375E-12</v>
      </c>
      <c r="BH159" s="62">
        <f t="shared" si="116"/>
        <v>293.33333333333684</v>
      </c>
      <c r="BI159" s="62">
        <f ca="1">AVERAGE(OFFSET($BH$3,0,0,'Données projet'!$E$11+1,1))-AVERAGE(OFFSET($H$3,0,0,'Données projet'!$E$11+1,1))</f>
        <v>154.44480170404967</v>
      </c>
      <c r="BJ159" s="62">
        <f t="shared" si="146"/>
        <v>186.45728006007272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1.9895196601282805E-13</v>
      </c>
      <c r="BZ159" s="14">
        <f>BY159*VLOOKUP('Données projet'!$B$12,Paramètres!$A$1:$I$89,3,0)*VLOOKUP('Données projet'!$B$12,Paramètres!$A$1:$I$89,5,0)</f>
        <v>1.3035332813160495E-13</v>
      </c>
      <c r="CA159" s="14">
        <f t="shared" si="170"/>
        <v>1.8987770485018903E-12</v>
      </c>
      <c r="CB159" s="22">
        <f t="shared" si="171"/>
        <v>3.5340687393033375E-12</v>
      </c>
      <c r="CC159" s="62">
        <f t="shared" si="119"/>
        <v>293.33333333333684</v>
      </c>
      <c r="CD159" s="62">
        <f ca="1">AVERAGE(OFFSET($CC$3,0,0,'Données projet'!$E$12+1,1))-AVERAGE(OFFSET($H$3,0,0,'Données projet'!$E$12+1,1))</f>
        <v>154.44480170404967</v>
      </c>
      <c r="CE159" s="62">
        <f t="shared" si="148"/>
        <v>186.45728006007272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9">
        <f t="shared" si="110"/>
        <v>483.61488984947425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1.9508661353029313E-13</v>
      </c>
      <c r="P160" s="14">
        <f t="shared" si="141"/>
        <v>2.711421636700695E-12</v>
      </c>
      <c r="Q160" s="22">
        <f t="shared" si="162"/>
        <v>5.0621685358189711E-12</v>
      </c>
      <c r="R160" s="62">
        <f t="shared" si="109"/>
        <v>293.33333333333837</v>
      </c>
      <c r="S160" s="62">
        <f ca="1">AVERAGE(OFFSET($R$3,0,0,'Données projet'!$E$9+1,1))-AVERAGE(OFFSET($H$3,0,0,'Données projet'!$E$9+1,1))</f>
        <v>178.42783874015521</v>
      </c>
      <c r="T160" s="62">
        <f t="shared" si="142"/>
        <v>140.03904900962556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5.252141452438909E-2</v>
      </c>
      <c r="AB160" s="23">
        <f>EXP(-LN(2)/2)*AB159+(1-EXP(-LN(2)/2))/(LN(2)/2)*V160*Y160*VLOOKUP('Données projet'!$B$9,Paramètres!$A$1:$I$89,3,0)*0.475*44/12</f>
        <v>5.2662697947994197E-20</v>
      </c>
      <c r="AC160" s="24">
        <f t="shared" si="163"/>
        <v>5.252141452438909E-2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216.16876563248064</v>
      </c>
      <c r="AO160" s="62">
        <f t="shared" si="144"/>
        <v>137.55906339137317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6.8329725293252486E-2</v>
      </c>
      <c r="AW160" s="23">
        <f>EXP(-LN(2)/2)*AW159+(1-EXP(-LN(2)/2))/(LN(2)/2)*AQ160*AT160*VLOOKUP('Données projet'!$B$10,Paramètres!$A$1:$I$89,3,0)*0.475*44/12</f>
        <v>3.3740021513778639E-19</v>
      </c>
      <c r="AX160" s="23">
        <f t="shared" si="166"/>
        <v>6.8329725293252486E-2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1.9895196601282805E-13</v>
      </c>
      <c r="BE160" s="14">
        <f>BD160*VLOOKUP('Données projet'!$B$11,Paramètres!$A$1:$I$89,3,0)*VLOOKUP('Données projet'!$B$11,Paramètres!$A$1:$I$89,5,0)</f>
        <v>1.3035332813160495E-13</v>
      </c>
      <c r="BF160" s="14">
        <f t="shared" si="167"/>
        <v>1.8987770485018903E-12</v>
      </c>
      <c r="BG160" s="22">
        <f t="shared" si="168"/>
        <v>3.5340687393033375E-12</v>
      </c>
      <c r="BH160" s="62">
        <f t="shared" si="116"/>
        <v>293.33333333333684</v>
      </c>
      <c r="BI160" s="62">
        <f ca="1">AVERAGE(OFFSET($BH$3,0,0,'Données projet'!$E$11+1,1))-AVERAGE(OFFSET($H$3,0,0,'Données projet'!$E$11+1,1))</f>
        <v>154.44480170404967</v>
      </c>
      <c r="BJ160" s="62">
        <f t="shared" si="146"/>
        <v>186.45728006007272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1.9895196601282805E-13</v>
      </c>
      <c r="BZ160" s="14">
        <f>BY160*VLOOKUP('Données projet'!$B$12,Paramètres!$A$1:$I$89,3,0)*VLOOKUP('Données projet'!$B$12,Paramètres!$A$1:$I$89,5,0)</f>
        <v>1.3035332813160495E-13</v>
      </c>
      <c r="CA160" s="14">
        <f t="shared" si="170"/>
        <v>1.8987770485018903E-12</v>
      </c>
      <c r="CB160" s="22">
        <f t="shared" si="171"/>
        <v>3.5340687393033375E-12</v>
      </c>
      <c r="CC160" s="62">
        <f t="shared" si="119"/>
        <v>293.33333333333684</v>
      </c>
      <c r="CD160" s="62">
        <f ca="1">AVERAGE(OFFSET($CC$3,0,0,'Données projet'!$E$12+1,1))-AVERAGE(OFFSET($H$3,0,0,'Données projet'!$E$12+1,1))</f>
        <v>154.44480170404967</v>
      </c>
      <c r="CE160" s="62">
        <f t="shared" si="148"/>
        <v>186.45728006007272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9">
        <f t="shared" si="110"/>
        <v>484.79640457735582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1.9508661353029313E-13</v>
      </c>
      <c r="P161" s="14">
        <f t="shared" si="141"/>
        <v>2.711421636700695E-12</v>
      </c>
      <c r="Q161" s="22">
        <f t="shared" si="162"/>
        <v>5.0621685358189711E-12</v>
      </c>
      <c r="R161" s="62">
        <f t="shared" si="109"/>
        <v>293.33333333333837</v>
      </c>
      <c r="S161" s="62">
        <f ca="1">AVERAGE(OFFSET($R$3,0,0,'Données projet'!$E$9+1,1))-AVERAGE(OFFSET($H$3,0,0,'Données projet'!$E$9+1,1))</f>
        <v>178.42783874015521</v>
      </c>
      <c r="T161" s="62">
        <f t="shared" si="142"/>
        <v>140.03904900962556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5.108521368223852E-2</v>
      </c>
      <c r="AB161" s="23">
        <f>EXP(-LN(2)/2)*AB160+(1-EXP(-LN(2)/2))/(LN(2)/2)*V161*Y161*VLOOKUP('Données projet'!$B$9,Paramètres!$A$1:$I$89,3,0)*0.475*44/12</f>
        <v>3.723815083460558E-20</v>
      </c>
      <c r="AC161" s="24">
        <f t="shared" si="163"/>
        <v>5.108521368223852E-2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216.16876563248064</v>
      </c>
      <c r="AO161" s="62">
        <f t="shared" si="144"/>
        <v>137.55906339137317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6.6461245361804408E-2</v>
      </c>
      <c r="AW161" s="23">
        <f>EXP(-LN(2)/2)*AW160+(1-EXP(-LN(2)/2))/(LN(2)/2)*AQ161*AT161*VLOOKUP('Données projet'!$B$10,Paramètres!$A$1:$I$89,3,0)*0.475*44/12</f>
        <v>2.3857798009772878E-19</v>
      </c>
      <c r="AX161" s="23">
        <f t="shared" si="166"/>
        <v>6.6461245361804408E-2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1.9895196601282805E-13</v>
      </c>
      <c r="BE161" s="14">
        <f>BD161*VLOOKUP('Données projet'!$B$11,Paramètres!$A$1:$I$89,3,0)*VLOOKUP('Données projet'!$B$11,Paramètres!$A$1:$I$89,5,0)</f>
        <v>1.3035332813160495E-13</v>
      </c>
      <c r="BF161" s="14">
        <f t="shared" si="167"/>
        <v>1.8987770485018903E-12</v>
      </c>
      <c r="BG161" s="22">
        <f t="shared" si="168"/>
        <v>3.5340687393033375E-12</v>
      </c>
      <c r="BH161" s="62">
        <f t="shared" si="116"/>
        <v>293.33333333333684</v>
      </c>
      <c r="BI161" s="62">
        <f ca="1">AVERAGE(OFFSET($BH$3,0,0,'Données projet'!$E$11+1,1))-AVERAGE(OFFSET($H$3,0,0,'Données projet'!$E$11+1,1))</f>
        <v>154.44480170404967</v>
      </c>
      <c r="BJ161" s="62">
        <f t="shared" si="146"/>
        <v>186.45728006007272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1.9895196601282805E-13</v>
      </c>
      <c r="BZ161" s="14">
        <f>BY161*VLOOKUP('Données projet'!$B$12,Paramètres!$A$1:$I$89,3,0)*VLOOKUP('Données projet'!$B$12,Paramètres!$A$1:$I$89,5,0)</f>
        <v>1.3035332813160495E-13</v>
      </c>
      <c r="CA161" s="14">
        <f t="shared" si="170"/>
        <v>1.8987770485018903E-12</v>
      </c>
      <c r="CB161" s="22">
        <f t="shared" si="171"/>
        <v>3.5340687393033375E-12</v>
      </c>
      <c r="CC161" s="62">
        <f t="shared" si="119"/>
        <v>293.33333333333684</v>
      </c>
      <c r="CD161" s="62">
        <f ca="1">AVERAGE(OFFSET($CC$3,0,0,'Données projet'!$E$12+1,1))-AVERAGE(OFFSET($H$3,0,0,'Données projet'!$E$12+1,1))</f>
        <v>154.44480170404967</v>
      </c>
      <c r="CE161" s="62">
        <f t="shared" si="148"/>
        <v>186.45728006007272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9">
        <f t="shared" si="110"/>
        <v>485.97774950751329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1.9508661353029313E-13</v>
      </c>
      <c r="P162" s="14">
        <f t="shared" si="141"/>
        <v>2.711421636700695E-12</v>
      </c>
      <c r="Q162" s="22">
        <f t="shared" si="162"/>
        <v>5.0621685358189711E-12</v>
      </c>
      <c r="R162" s="62">
        <f t="shared" si="109"/>
        <v>293.33333333333837</v>
      </c>
      <c r="S162" s="62">
        <f ca="1">AVERAGE(OFFSET($R$3,0,0,'Données projet'!$E$9+1,1))-AVERAGE(OFFSET($H$3,0,0,'Données projet'!$E$9+1,1))</f>
        <v>178.42783874015521</v>
      </c>
      <c r="T162" s="62">
        <f t="shared" si="142"/>
        <v>140.03904900962556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4.9688285827643078E-2</v>
      </c>
      <c r="AB162" s="23">
        <f>EXP(-LN(2)/2)*AB161+(1-EXP(-LN(2)/2))/(LN(2)/2)*V162*Y162*VLOOKUP('Données projet'!$B$9,Paramètres!$A$1:$I$89,3,0)*0.475*44/12</f>
        <v>2.6331348973997101E-20</v>
      </c>
      <c r="AC162" s="24">
        <f t="shared" si="163"/>
        <v>4.9688285827643078E-2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216.16876563248064</v>
      </c>
      <c r="AO162" s="62">
        <f t="shared" si="144"/>
        <v>137.55906339137317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6.4643859112340871E-2</v>
      </c>
      <c r="AW162" s="23">
        <f>EXP(-LN(2)/2)*AW161+(1-EXP(-LN(2)/2))/(LN(2)/2)*AQ162*AT162*VLOOKUP('Données projet'!$B$10,Paramètres!$A$1:$I$89,3,0)*0.475*44/12</f>
        <v>1.6870010756889319E-19</v>
      </c>
      <c r="AX162" s="23">
        <f t="shared" si="166"/>
        <v>6.4643859112340871E-2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1.9895196601282805E-13</v>
      </c>
      <c r="BE162" s="14">
        <f>BD162*VLOOKUP('Données projet'!$B$11,Paramètres!$A$1:$I$89,3,0)*VLOOKUP('Données projet'!$B$11,Paramètres!$A$1:$I$89,5,0)</f>
        <v>1.3035332813160495E-13</v>
      </c>
      <c r="BF162" s="14">
        <f t="shared" si="167"/>
        <v>1.8987770485018903E-12</v>
      </c>
      <c r="BG162" s="22">
        <f t="shared" si="168"/>
        <v>3.5340687393033375E-12</v>
      </c>
      <c r="BH162" s="62">
        <f t="shared" si="116"/>
        <v>293.33333333333684</v>
      </c>
      <c r="BI162" s="62">
        <f ca="1">AVERAGE(OFFSET($BH$3,0,0,'Données projet'!$E$11+1,1))-AVERAGE(OFFSET($H$3,0,0,'Données projet'!$E$11+1,1))</f>
        <v>154.44480170404967</v>
      </c>
      <c r="BJ162" s="62">
        <f t="shared" si="146"/>
        <v>186.45728006007272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1.9895196601282805E-13</v>
      </c>
      <c r="BZ162" s="14">
        <f>BY162*VLOOKUP('Données projet'!$B$12,Paramètres!$A$1:$I$89,3,0)*VLOOKUP('Données projet'!$B$12,Paramètres!$A$1:$I$89,5,0)</f>
        <v>1.3035332813160495E-13</v>
      </c>
      <c r="CA162" s="14">
        <f t="shared" si="170"/>
        <v>1.8987770485018903E-12</v>
      </c>
      <c r="CB162" s="22">
        <f t="shared" si="171"/>
        <v>3.5340687393033375E-12</v>
      </c>
      <c r="CC162" s="62">
        <f t="shared" si="119"/>
        <v>293.33333333333684</v>
      </c>
      <c r="CD162" s="62">
        <f ca="1">AVERAGE(OFFSET($CC$3,0,0,'Données projet'!$E$12+1,1))-AVERAGE(OFFSET($H$3,0,0,'Données projet'!$E$12+1,1))</f>
        <v>154.44480170404967</v>
      </c>
      <c r="CE162" s="62">
        <f t="shared" si="148"/>
        <v>186.45728006007272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9">
        <f t="shared" si="110"/>
        <v>487.15892583174093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1.9508661353029313E-13</v>
      </c>
      <c r="P163" s="14">
        <f t="shared" si="141"/>
        <v>2.711421636700695E-12</v>
      </c>
      <c r="Q163" s="22">
        <f t="shared" si="162"/>
        <v>5.0621685358189711E-12</v>
      </c>
      <c r="R163" s="62">
        <f t="shared" si="109"/>
        <v>293.33333333333837</v>
      </c>
      <c r="S163" s="62">
        <f ca="1">AVERAGE(OFFSET($R$3,0,0,'Données projet'!$E$9+1,1))-AVERAGE(OFFSET($H$3,0,0,'Données projet'!$E$9+1,1))</f>
        <v>178.42783874015521</v>
      </c>
      <c r="T163" s="62">
        <f t="shared" si="142"/>
        <v>140.03904900962556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4.8329557038692787E-2</v>
      </c>
      <c r="AB163" s="23">
        <f>EXP(-LN(2)/2)*AB162+(1-EXP(-LN(2)/2))/(LN(2)/2)*V163*Y163*VLOOKUP('Données projet'!$B$9,Paramètres!$A$1:$I$89,3,0)*0.475*44/12</f>
        <v>1.8619075417302793E-20</v>
      </c>
      <c r="AC163" s="24">
        <f t="shared" si="163"/>
        <v>4.8329557038692787E-2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216.16876563248064</v>
      </c>
      <c r="AO163" s="62">
        <f t="shared" si="144"/>
        <v>137.55906339137317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6.2876169385441105E-2</v>
      </c>
      <c r="AW163" s="23">
        <f>EXP(-LN(2)/2)*AW162+(1-EXP(-LN(2)/2))/(LN(2)/2)*AQ163*AT163*VLOOKUP('Données projet'!$B$10,Paramètres!$A$1:$I$89,3,0)*0.475*44/12</f>
        <v>1.1928899004886439E-19</v>
      </c>
      <c r="AX163" s="23">
        <f t="shared" si="166"/>
        <v>6.2876169385441105E-2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1.9895196601282805E-13</v>
      </c>
      <c r="BE163" s="14">
        <f>BD163*VLOOKUP('Données projet'!$B$11,Paramètres!$A$1:$I$89,3,0)*VLOOKUP('Données projet'!$B$11,Paramètres!$A$1:$I$89,5,0)</f>
        <v>1.3035332813160495E-13</v>
      </c>
      <c r="BF163" s="14">
        <f t="shared" si="167"/>
        <v>1.8987770485018903E-12</v>
      </c>
      <c r="BG163" s="22">
        <f t="shared" si="168"/>
        <v>3.5340687393033375E-12</v>
      </c>
      <c r="BH163" s="62">
        <f t="shared" si="116"/>
        <v>293.33333333333684</v>
      </c>
      <c r="BI163" s="62">
        <f ca="1">AVERAGE(OFFSET($BH$3,0,0,'Données projet'!$E$11+1,1))-AVERAGE(OFFSET($H$3,0,0,'Données projet'!$E$11+1,1))</f>
        <v>154.44480170404967</v>
      </c>
      <c r="BJ163" s="62">
        <f t="shared" si="146"/>
        <v>186.45728006007272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1.9895196601282805E-13</v>
      </c>
      <c r="BZ163" s="14">
        <f>BY163*VLOOKUP('Données projet'!$B$12,Paramètres!$A$1:$I$89,3,0)*VLOOKUP('Données projet'!$B$12,Paramètres!$A$1:$I$89,5,0)</f>
        <v>1.3035332813160495E-13</v>
      </c>
      <c r="CA163" s="14">
        <f t="shared" si="170"/>
        <v>1.8987770485018903E-12</v>
      </c>
      <c r="CB163" s="22">
        <f t="shared" si="171"/>
        <v>3.5340687393033375E-12</v>
      </c>
      <c r="CC163" s="62">
        <f t="shared" si="119"/>
        <v>293.33333333333684</v>
      </c>
      <c r="CD163" s="62">
        <f ca="1">AVERAGE(OFFSET($CC$3,0,0,'Données projet'!$E$12+1,1))-AVERAGE(OFFSET($H$3,0,0,'Données projet'!$E$12+1,1))</f>
        <v>154.44480170404967</v>
      </c>
      <c r="CE163" s="62">
        <f t="shared" si="148"/>
        <v>186.45728006007272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9">
        <f t="shared" si="110"/>
        <v>488.33993472607426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1.9508661353029313E-13</v>
      </c>
      <c r="P164" s="14">
        <f t="shared" si="141"/>
        <v>2.711421636700695E-12</v>
      </c>
      <c r="Q164" s="22">
        <f t="shared" si="162"/>
        <v>5.0621685358189711E-12</v>
      </c>
      <c r="R164" s="62">
        <f t="shared" si="109"/>
        <v>293.33333333333837</v>
      </c>
      <c r="S164" s="62">
        <f ca="1">AVERAGE(OFFSET($R$3,0,0,'Données projet'!$E$9+1,1))-AVERAGE(OFFSET($H$3,0,0,'Données projet'!$E$9+1,1))</f>
        <v>178.42783874015521</v>
      </c>
      <c r="T164" s="62">
        <f t="shared" si="142"/>
        <v>140.03904900962556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4.700798275992879E-2</v>
      </c>
      <c r="AB164" s="23">
        <f>EXP(-LN(2)/2)*AB163+(1-EXP(-LN(2)/2))/(LN(2)/2)*V164*Y164*VLOOKUP('Données projet'!$B$9,Paramètres!$A$1:$I$89,3,0)*0.475*44/12</f>
        <v>1.3165674486998554E-20</v>
      </c>
      <c r="AC164" s="24">
        <f t="shared" si="163"/>
        <v>4.700798275992879E-2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216.16876563248064</v>
      </c>
      <c r="AO164" s="62">
        <f t="shared" si="144"/>
        <v>137.55906339137317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6.1156817227082175E-2</v>
      </c>
      <c r="AW164" s="23">
        <f>EXP(-LN(2)/2)*AW163+(1-EXP(-LN(2)/2))/(LN(2)/2)*AQ164*AT164*VLOOKUP('Données projet'!$B$10,Paramètres!$A$1:$I$89,3,0)*0.475*44/12</f>
        <v>8.4350053784446597E-20</v>
      </c>
      <c r="AX164" s="23">
        <f t="shared" si="166"/>
        <v>6.1156817227082175E-2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1.9895196601282805E-13</v>
      </c>
      <c r="BE164" s="14">
        <f>BD164*VLOOKUP('Données projet'!$B$11,Paramètres!$A$1:$I$89,3,0)*VLOOKUP('Données projet'!$B$11,Paramètres!$A$1:$I$89,5,0)</f>
        <v>1.3035332813160495E-13</v>
      </c>
      <c r="BF164" s="14">
        <f t="shared" si="167"/>
        <v>1.8987770485018903E-12</v>
      </c>
      <c r="BG164" s="22">
        <f t="shared" si="168"/>
        <v>3.5340687393033375E-12</v>
      </c>
      <c r="BH164" s="62">
        <f t="shared" si="116"/>
        <v>293.33333333333684</v>
      </c>
      <c r="BI164" s="62">
        <f ca="1">AVERAGE(OFFSET($BH$3,0,0,'Données projet'!$E$11+1,1))-AVERAGE(OFFSET($H$3,0,0,'Données projet'!$E$11+1,1))</f>
        <v>154.44480170404967</v>
      </c>
      <c r="BJ164" s="62">
        <f t="shared" si="146"/>
        <v>186.45728006007272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1.9895196601282805E-13</v>
      </c>
      <c r="BZ164" s="14">
        <f>BY164*VLOOKUP('Données projet'!$B$12,Paramètres!$A$1:$I$89,3,0)*VLOOKUP('Données projet'!$B$12,Paramètres!$A$1:$I$89,5,0)</f>
        <v>1.3035332813160495E-13</v>
      </c>
      <c r="CA164" s="14">
        <f t="shared" si="170"/>
        <v>1.8987770485018903E-12</v>
      </c>
      <c r="CB164" s="22">
        <f t="shared" si="171"/>
        <v>3.5340687393033375E-12</v>
      </c>
      <c r="CC164" s="62">
        <f t="shared" si="119"/>
        <v>293.33333333333684</v>
      </c>
      <c r="CD164" s="62">
        <f ca="1">AVERAGE(OFFSET($CC$3,0,0,'Données projet'!$E$12+1,1))-AVERAGE(OFFSET($H$3,0,0,'Données projet'!$E$12+1,1))</f>
        <v>154.44480170404967</v>
      </c>
      <c r="CE164" s="62">
        <f t="shared" si="148"/>
        <v>186.45728006007272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9">
        <f t="shared" si="110"/>
        <v>489.52077735109452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1.9508661353029313E-13</v>
      </c>
      <c r="P165" s="14">
        <f t="shared" si="141"/>
        <v>2.711421636700695E-12</v>
      </c>
      <c r="Q165" s="22">
        <f t="shared" si="162"/>
        <v>5.0621685358189711E-12</v>
      </c>
      <c r="R165" s="62">
        <f t="shared" si="109"/>
        <v>293.33333333333837</v>
      </c>
      <c r="S165" s="62">
        <f ca="1">AVERAGE(OFFSET($R$3,0,0,'Données projet'!$E$9+1,1))-AVERAGE(OFFSET($H$3,0,0,'Données projet'!$E$9+1,1))</f>
        <v>178.42783874015521</v>
      </c>
      <c r="T165" s="62">
        <f t="shared" si="142"/>
        <v>140.03904900962556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4.572254699931616E-2</v>
      </c>
      <c r="AB165" s="23">
        <f>EXP(-LN(2)/2)*AB164+(1-EXP(-LN(2)/2))/(LN(2)/2)*V165*Y165*VLOOKUP('Données projet'!$B$9,Paramètres!$A$1:$I$89,3,0)*0.475*44/12</f>
        <v>9.3095377086513981E-21</v>
      </c>
      <c r="AC165" s="24">
        <f t="shared" si="163"/>
        <v>4.572254699931616E-2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216.16876563248064</v>
      </c>
      <c r="AO165" s="62">
        <f t="shared" si="144"/>
        <v>137.55906339137317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5.9484480843910371E-2</v>
      </c>
      <c r="AW165" s="23">
        <f>EXP(-LN(2)/2)*AW164+(1-EXP(-LN(2)/2))/(LN(2)/2)*AQ165*AT165*VLOOKUP('Données projet'!$B$10,Paramètres!$A$1:$I$89,3,0)*0.475*44/12</f>
        <v>5.9644495024432194E-20</v>
      </c>
      <c r="AX165" s="23">
        <f t="shared" si="166"/>
        <v>5.9484480843910371E-2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1.9895196601282805E-13</v>
      </c>
      <c r="BE165" s="14">
        <f>BD165*VLOOKUP('Données projet'!$B$11,Paramètres!$A$1:$I$89,3,0)*VLOOKUP('Données projet'!$B$11,Paramètres!$A$1:$I$89,5,0)</f>
        <v>1.3035332813160495E-13</v>
      </c>
      <c r="BF165" s="14">
        <f t="shared" si="167"/>
        <v>1.8987770485018903E-12</v>
      </c>
      <c r="BG165" s="22">
        <f t="shared" si="168"/>
        <v>3.5340687393033375E-12</v>
      </c>
      <c r="BH165" s="62">
        <f t="shared" si="116"/>
        <v>293.33333333333684</v>
      </c>
      <c r="BI165" s="62">
        <f ca="1">AVERAGE(OFFSET($BH$3,0,0,'Données projet'!$E$11+1,1))-AVERAGE(OFFSET($H$3,0,0,'Données projet'!$E$11+1,1))</f>
        <v>154.44480170404967</v>
      </c>
      <c r="BJ165" s="62">
        <f t="shared" si="146"/>
        <v>186.45728006007272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1.9895196601282805E-13</v>
      </c>
      <c r="BZ165" s="14">
        <f>BY165*VLOOKUP('Données projet'!$B$12,Paramètres!$A$1:$I$89,3,0)*VLOOKUP('Données projet'!$B$12,Paramètres!$A$1:$I$89,5,0)</f>
        <v>1.3035332813160495E-13</v>
      </c>
      <c r="CA165" s="14">
        <f t="shared" si="170"/>
        <v>1.8987770485018903E-12</v>
      </c>
      <c r="CB165" s="22">
        <f t="shared" si="171"/>
        <v>3.5340687393033375E-12</v>
      </c>
      <c r="CC165" s="62">
        <f t="shared" si="119"/>
        <v>293.33333333333684</v>
      </c>
      <c r="CD165" s="62">
        <f ca="1">AVERAGE(OFFSET($CC$3,0,0,'Données projet'!$E$12+1,1))-AVERAGE(OFFSET($H$3,0,0,'Données projet'!$E$12+1,1))</f>
        <v>154.44480170404967</v>
      </c>
      <c r="CE165" s="62">
        <f t="shared" si="148"/>
        <v>186.45728006007272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9">
        <f t="shared" si="110"/>
        <v>490.70145485222611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1.9508661353029313E-13</v>
      </c>
      <c r="P166" s="14">
        <f t="shared" si="141"/>
        <v>2.711421636700695E-12</v>
      </c>
      <c r="Q166" s="22">
        <f t="shared" si="162"/>
        <v>5.0621685358189711E-12</v>
      </c>
      <c r="R166" s="62">
        <f t="shared" si="109"/>
        <v>293.33333333333837</v>
      </c>
      <c r="S166" s="62">
        <f ca="1">AVERAGE(OFFSET($R$3,0,0,'Données projet'!$E$9+1,1))-AVERAGE(OFFSET($H$3,0,0,'Données projet'!$E$9+1,1))</f>
        <v>178.42783874015521</v>
      </c>
      <c r="T166" s="62">
        <f t="shared" si="142"/>
        <v>140.03904900962556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4.4472261547175616E-2</v>
      </c>
      <c r="AB166" s="23">
        <f>EXP(-LN(2)/2)*AB165+(1-EXP(-LN(2)/2))/(LN(2)/2)*V166*Y166*VLOOKUP('Données projet'!$B$9,Paramètres!$A$1:$I$89,3,0)*0.475*44/12</f>
        <v>6.5828372434992776E-21</v>
      </c>
      <c r="AC166" s="24">
        <f t="shared" si="163"/>
        <v>4.4472261547175616E-2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216.16876563248064</v>
      </c>
      <c r="AO166" s="62">
        <f t="shared" si="144"/>
        <v>137.55906339137317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5.7857874587080749E-2</v>
      </c>
      <c r="AW166" s="23">
        <f>EXP(-LN(2)/2)*AW165+(1-EXP(-LN(2)/2))/(LN(2)/2)*AQ166*AT166*VLOOKUP('Données projet'!$B$10,Paramètres!$A$1:$I$89,3,0)*0.475*44/12</f>
        <v>4.2175026892223298E-20</v>
      </c>
      <c r="AX166" s="23">
        <f t="shared" si="166"/>
        <v>5.7857874587080749E-2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1.9895196601282805E-13</v>
      </c>
      <c r="BE166" s="14">
        <f>BD166*VLOOKUP('Données projet'!$B$11,Paramètres!$A$1:$I$89,3,0)*VLOOKUP('Données projet'!$B$11,Paramètres!$A$1:$I$89,5,0)</f>
        <v>1.3035332813160495E-13</v>
      </c>
      <c r="BF166" s="14">
        <f t="shared" si="167"/>
        <v>1.8987770485018903E-12</v>
      </c>
      <c r="BG166" s="22">
        <f t="shared" si="168"/>
        <v>3.5340687393033375E-12</v>
      </c>
      <c r="BH166" s="62">
        <f t="shared" si="116"/>
        <v>293.33333333333684</v>
      </c>
      <c r="BI166" s="62">
        <f ca="1">AVERAGE(OFFSET($BH$3,0,0,'Données projet'!$E$11+1,1))-AVERAGE(OFFSET($H$3,0,0,'Données projet'!$E$11+1,1))</f>
        <v>154.44480170404967</v>
      </c>
      <c r="BJ166" s="62">
        <f t="shared" si="146"/>
        <v>186.45728006007272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1.9895196601282805E-13</v>
      </c>
      <c r="BZ166" s="14">
        <f>BY166*VLOOKUP('Données projet'!$B$12,Paramètres!$A$1:$I$89,3,0)*VLOOKUP('Données projet'!$B$12,Paramètres!$A$1:$I$89,5,0)</f>
        <v>1.3035332813160495E-13</v>
      </c>
      <c r="CA166" s="14">
        <f t="shared" si="170"/>
        <v>1.8987770485018903E-12</v>
      </c>
      <c r="CB166" s="22">
        <f t="shared" si="171"/>
        <v>3.5340687393033375E-12</v>
      </c>
      <c r="CC166" s="62">
        <f t="shared" si="119"/>
        <v>293.33333333333684</v>
      </c>
      <c r="CD166" s="62">
        <f ca="1">AVERAGE(OFFSET($CC$3,0,0,'Données projet'!$E$12+1,1))-AVERAGE(OFFSET($H$3,0,0,'Données projet'!$E$12+1,1))</f>
        <v>154.44480170404967</v>
      </c>
      <c r="CE166" s="62">
        <f t="shared" si="148"/>
        <v>186.45728006007272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9">
        <f t="shared" si="110"/>
        <v>491.88196836002629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1.9508661353029313E-13</v>
      </c>
      <c r="P167" s="14">
        <f t="shared" si="141"/>
        <v>2.711421636700695E-12</v>
      </c>
      <c r="Q167" s="22">
        <f t="shared" si="162"/>
        <v>5.0621685358189711E-12</v>
      </c>
      <c r="R167" s="62">
        <f t="shared" si="109"/>
        <v>293.33333333333837</v>
      </c>
      <c r="S167" s="62">
        <f ca="1">AVERAGE(OFFSET($R$3,0,0,'Données projet'!$E$9+1,1))-AVERAGE(OFFSET($H$3,0,0,'Données projet'!$E$9+1,1))</f>
        <v>178.42783874015521</v>
      </c>
      <c r="T167" s="62">
        <f t="shared" si="142"/>
        <v>140.03904900962556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4.3256165216473505E-2</v>
      </c>
      <c r="AB167" s="23">
        <f>EXP(-LN(2)/2)*AB166+(1-EXP(-LN(2)/2))/(LN(2)/2)*V167*Y167*VLOOKUP('Données projet'!$B$9,Paramètres!$A$1:$I$89,3,0)*0.475*44/12</f>
        <v>4.6547688543256998E-21</v>
      </c>
      <c r="AC167" s="24">
        <f t="shared" si="163"/>
        <v>4.3256165216473505E-2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216.16876563248064</v>
      </c>
      <c r="AO167" s="62">
        <f t="shared" si="144"/>
        <v>137.55906339137317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5.6275747963883641E-2</v>
      </c>
      <c r="AW167" s="23">
        <f>EXP(-LN(2)/2)*AW166+(1-EXP(-LN(2)/2))/(LN(2)/2)*AQ167*AT167*VLOOKUP('Données projet'!$B$10,Paramètres!$A$1:$I$89,3,0)*0.475*44/12</f>
        <v>2.9822247512216097E-20</v>
      </c>
      <c r="AX167" s="23">
        <f t="shared" si="166"/>
        <v>5.6275747963883641E-2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1.9895196601282805E-13</v>
      </c>
      <c r="BE167" s="14">
        <f>BD167*VLOOKUP('Données projet'!$B$11,Paramètres!$A$1:$I$89,3,0)*VLOOKUP('Données projet'!$B$11,Paramètres!$A$1:$I$89,5,0)</f>
        <v>1.3035332813160495E-13</v>
      </c>
      <c r="BF167" s="14">
        <f t="shared" si="167"/>
        <v>1.8987770485018903E-12</v>
      </c>
      <c r="BG167" s="22">
        <f t="shared" si="168"/>
        <v>3.5340687393033375E-12</v>
      </c>
      <c r="BH167" s="62">
        <f t="shared" si="116"/>
        <v>293.33333333333684</v>
      </c>
      <c r="BI167" s="62">
        <f ca="1">AVERAGE(OFFSET($BH$3,0,0,'Données projet'!$E$11+1,1))-AVERAGE(OFFSET($H$3,0,0,'Données projet'!$E$11+1,1))</f>
        <v>154.44480170404967</v>
      </c>
      <c r="BJ167" s="62">
        <f t="shared" si="146"/>
        <v>186.45728006007272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1.9895196601282805E-13</v>
      </c>
      <c r="BZ167" s="14">
        <f>BY167*VLOOKUP('Données projet'!$B$12,Paramètres!$A$1:$I$89,3,0)*VLOOKUP('Données projet'!$B$12,Paramètres!$A$1:$I$89,5,0)</f>
        <v>1.3035332813160495E-13</v>
      </c>
      <c r="CA167" s="14">
        <f t="shared" si="170"/>
        <v>1.8987770485018903E-12</v>
      </c>
      <c r="CB167" s="22">
        <f t="shared" si="171"/>
        <v>3.5340687393033375E-12</v>
      </c>
      <c r="CC167" s="62">
        <f t="shared" si="119"/>
        <v>293.33333333333684</v>
      </c>
      <c r="CD167" s="62">
        <f ca="1">AVERAGE(OFFSET($CC$3,0,0,'Données projet'!$E$12+1,1))-AVERAGE(OFFSET($H$3,0,0,'Données projet'!$E$12+1,1))</f>
        <v>154.44480170404967</v>
      </c>
      <c r="CE167" s="62">
        <f t="shared" si="148"/>
        <v>186.45728006007272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9">
        <f t="shared" si="110"/>
        <v>493.06231899046742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1.9508661353029313E-13</v>
      </c>
      <c r="P168" s="14">
        <f t="shared" si="141"/>
        <v>2.711421636700695E-12</v>
      </c>
      <c r="Q168" s="22">
        <f t="shared" si="162"/>
        <v>5.0621685358189711E-12</v>
      </c>
      <c r="R168" s="62">
        <f t="shared" si="109"/>
        <v>293.33333333333837</v>
      </c>
      <c r="S168" s="62">
        <f ca="1">AVERAGE(OFFSET($R$3,0,0,'Données projet'!$E$9+1,1))-AVERAGE(OFFSET($H$3,0,0,'Données projet'!$E$9+1,1))</f>
        <v>178.42783874015521</v>
      </c>
      <c r="T168" s="62">
        <f t="shared" si="142"/>
        <v>140.03904900962556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4.2073323103886173E-2</v>
      </c>
      <c r="AB168" s="23">
        <f>EXP(-LN(2)/2)*AB167+(1-EXP(-LN(2)/2))/(LN(2)/2)*V168*Y168*VLOOKUP('Données projet'!$B$9,Paramètres!$A$1:$I$89,3,0)*0.475*44/12</f>
        <v>3.2914186217496392E-21</v>
      </c>
      <c r="AC168" s="24">
        <f t="shared" si="163"/>
        <v>4.2073323103886173E-2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216.16876563248064</v>
      </c>
      <c r="AO168" s="62">
        <f t="shared" si="144"/>
        <v>137.55906339137317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5.4736884676398277E-2</v>
      </c>
      <c r="AW168" s="23">
        <f>EXP(-LN(2)/2)*AW167+(1-EXP(-LN(2)/2))/(LN(2)/2)*AQ168*AT168*VLOOKUP('Données projet'!$B$10,Paramètres!$A$1:$I$89,3,0)*0.475*44/12</f>
        <v>2.1087513446111649E-20</v>
      </c>
      <c r="AX168" s="23">
        <f t="shared" si="166"/>
        <v>5.4736884676398277E-2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1.9895196601282805E-13</v>
      </c>
      <c r="BE168" s="14">
        <f>BD168*VLOOKUP('Données projet'!$B$11,Paramètres!$A$1:$I$89,3,0)*VLOOKUP('Données projet'!$B$11,Paramètres!$A$1:$I$89,5,0)</f>
        <v>1.3035332813160495E-13</v>
      </c>
      <c r="BF168" s="14">
        <f t="shared" si="167"/>
        <v>1.8987770485018903E-12</v>
      </c>
      <c r="BG168" s="22">
        <f t="shared" si="168"/>
        <v>3.5340687393033375E-12</v>
      </c>
      <c r="BH168" s="62">
        <f t="shared" si="116"/>
        <v>293.33333333333684</v>
      </c>
      <c r="BI168" s="62">
        <f ca="1">AVERAGE(OFFSET($BH$3,0,0,'Données projet'!$E$11+1,1))-AVERAGE(OFFSET($H$3,0,0,'Données projet'!$E$11+1,1))</f>
        <v>154.44480170404967</v>
      </c>
      <c r="BJ168" s="62">
        <f t="shared" si="146"/>
        <v>186.45728006007272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1.9895196601282805E-13</v>
      </c>
      <c r="BZ168" s="14">
        <f>BY168*VLOOKUP('Données projet'!$B$12,Paramètres!$A$1:$I$89,3,0)*VLOOKUP('Données projet'!$B$12,Paramètres!$A$1:$I$89,5,0)</f>
        <v>1.3035332813160495E-13</v>
      </c>
      <c r="CA168" s="14">
        <f t="shared" si="170"/>
        <v>1.8987770485018903E-12</v>
      </c>
      <c r="CB168" s="22">
        <f t="shared" si="171"/>
        <v>3.5340687393033375E-12</v>
      </c>
      <c r="CC168" s="62">
        <f t="shared" si="119"/>
        <v>293.33333333333684</v>
      </c>
      <c r="CD168" s="62">
        <f ca="1">AVERAGE(OFFSET($CC$3,0,0,'Données projet'!$E$12+1,1))-AVERAGE(OFFSET($H$3,0,0,'Données projet'!$E$12+1,1))</f>
        <v>154.44480170404967</v>
      </c>
      <c r="CE168" s="62">
        <f t="shared" si="148"/>
        <v>186.45728006007272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9">
        <f t="shared" si="110"/>
        <v>494.24250784521246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1.9508661353029313E-13</v>
      </c>
      <c r="P169" s="14">
        <f t="shared" si="141"/>
        <v>2.711421636700695E-12</v>
      </c>
      <c r="Q169" s="22">
        <f t="shared" si="162"/>
        <v>5.0621685358189711E-12</v>
      </c>
      <c r="R169" s="62">
        <f t="shared" si="109"/>
        <v>293.33333333333837</v>
      </c>
      <c r="S169" s="62">
        <f ca="1">AVERAGE(OFFSET($R$3,0,0,'Données projet'!$E$9+1,1))-AVERAGE(OFFSET($H$3,0,0,'Données projet'!$E$9+1,1))</f>
        <v>178.42783874015521</v>
      </c>
      <c r="T169" s="62">
        <f t="shared" si="142"/>
        <v>140.03904900962556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4.0922825871070503E-2</v>
      </c>
      <c r="AB169" s="23">
        <f>EXP(-LN(2)/2)*AB168+(1-EXP(-LN(2)/2))/(LN(2)/2)*V169*Y169*VLOOKUP('Données projet'!$B$9,Paramètres!$A$1:$I$89,3,0)*0.475*44/12</f>
        <v>2.3273844271628503E-21</v>
      </c>
      <c r="AC169" s="24">
        <f t="shared" si="163"/>
        <v>4.0922825871070503E-2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216.16876563248064</v>
      </c>
      <c r="AO169" s="62">
        <f t="shared" si="144"/>
        <v>137.55906339137317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5.3240101686434504E-2</v>
      </c>
      <c r="AW169" s="23">
        <f>EXP(-LN(2)/2)*AW168+(1-EXP(-LN(2)/2))/(LN(2)/2)*AQ169*AT169*VLOOKUP('Données projet'!$B$10,Paramètres!$A$1:$I$89,3,0)*0.475*44/12</f>
        <v>1.4911123756108048E-20</v>
      </c>
      <c r="AX169" s="23">
        <f t="shared" si="166"/>
        <v>5.3240101686434504E-2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1.9895196601282805E-13</v>
      </c>
      <c r="BE169" s="14">
        <f>BD169*VLOOKUP('Données projet'!$B$11,Paramètres!$A$1:$I$89,3,0)*VLOOKUP('Données projet'!$B$11,Paramètres!$A$1:$I$89,5,0)</f>
        <v>1.3035332813160495E-13</v>
      </c>
      <c r="BF169" s="14">
        <f t="shared" si="167"/>
        <v>1.8987770485018903E-12</v>
      </c>
      <c r="BG169" s="22">
        <f t="shared" si="168"/>
        <v>3.5340687393033375E-12</v>
      </c>
      <c r="BH169" s="62">
        <f t="shared" si="116"/>
        <v>293.33333333333684</v>
      </c>
      <c r="BI169" s="62">
        <f ca="1">AVERAGE(OFFSET($BH$3,0,0,'Données projet'!$E$11+1,1))-AVERAGE(OFFSET($H$3,0,0,'Données projet'!$E$11+1,1))</f>
        <v>154.44480170404967</v>
      </c>
      <c r="BJ169" s="62">
        <f t="shared" si="146"/>
        <v>186.45728006007272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1.9895196601282805E-13</v>
      </c>
      <c r="BZ169" s="14">
        <f>BY169*VLOOKUP('Données projet'!$B$12,Paramètres!$A$1:$I$89,3,0)*VLOOKUP('Données projet'!$B$12,Paramètres!$A$1:$I$89,5,0)</f>
        <v>1.3035332813160495E-13</v>
      </c>
      <c r="CA169" s="14">
        <f t="shared" si="170"/>
        <v>1.8987770485018903E-12</v>
      </c>
      <c r="CB169" s="22">
        <f t="shared" si="171"/>
        <v>3.5340687393033375E-12</v>
      </c>
      <c r="CC169" s="62">
        <f t="shared" si="119"/>
        <v>293.33333333333684</v>
      </c>
      <c r="CD169" s="62">
        <f ca="1">AVERAGE(OFFSET($CC$3,0,0,'Données projet'!$E$12+1,1))-AVERAGE(OFFSET($H$3,0,0,'Données projet'!$E$12+1,1))</f>
        <v>154.44480170404967</v>
      </c>
      <c r="CE169" s="62">
        <f t="shared" si="148"/>
        <v>186.45728006007272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9">
        <f t="shared" si="110"/>
        <v>495.42253601188349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1.9508661353029313E-13</v>
      </c>
      <c r="P170" s="14">
        <f t="shared" si="141"/>
        <v>2.711421636700695E-12</v>
      </c>
      <c r="Q170" s="22">
        <f t="shared" si="162"/>
        <v>5.0621685358189711E-12</v>
      </c>
      <c r="R170" s="62">
        <f t="shared" si="109"/>
        <v>293.33333333333837</v>
      </c>
      <c r="S170" s="62">
        <f ca="1">AVERAGE(OFFSET($R$3,0,0,'Données projet'!$E$9+1,1))-AVERAGE(OFFSET($H$3,0,0,'Données projet'!$E$9+1,1))</f>
        <v>178.42783874015521</v>
      </c>
      <c r="T170" s="62">
        <f t="shared" si="142"/>
        <v>140.03904900962556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3.9803789045588199E-2</v>
      </c>
      <c r="AB170" s="23">
        <f>EXP(-LN(2)/2)*AB169+(1-EXP(-LN(2)/2))/(LN(2)/2)*V170*Y170*VLOOKUP('Données projet'!$B$9,Paramètres!$A$1:$I$89,3,0)*0.475*44/12</f>
        <v>1.64570931087482E-21</v>
      </c>
      <c r="AC170" s="24">
        <f t="shared" si="163"/>
        <v>3.9803789045588199E-2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216.16876563248064</v>
      </c>
      <c r="AO170" s="62">
        <f t="shared" si="144"/>
        <v>137.55906339137317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5.1784248306043688E-2</v>
      </c>
      <c r="AW170" s="23">
        <f>EXP(-LN(2)/2)*AW169+(1-EXP(-LN(2)/2))/(LN(2)/2)*AQ170*AT170*VLOOKUP('Données projet'!$B$10,Paramètres!$A$1:$I$89,3,0)*0.475*44/12</f>
        <v>1.0543756723055825E-20</v>
      </c>
      <c r="AX170" s="23">
        <f t="shared" si="166"/>
        <v>5.1784248306043688E-2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1.9895196601282805E-13</v>
      </c>
      <c r="BE170" s="14">
        <f>BD170*VLOOKUP('Données projet'!$B$11,Paramètres!$A$1:$I$89,3,0)*VLOOKUP('Données projet'!$B$11,Paramètres!$A$1:$I$89,5,0)</f>
        <v>1.3035332813160495E-13</v>
      </c>
      <c r="BF170" s="14">
        <f t="shared" si="167"/>
        <v>1.8987770485018903E-12</v>
      </c>
      <c r="BG170" s="22">
        <f t="shared" si="168"/>
        <v>3.5340687393033375E-12</v>
      </c>
      <c r="BH170" s="62">
        <f t="shared" si="116"/>
        <v>293.33333333333684</v>
      </c>
      <c r="BI170" s="62">
        <f ca="1">AVERAGE(OFFSET($BH$3,0,0,'Données projet'!$E$11+1,1))-AVERAGE(OFFSET($H$3,0,0,'Données projet'!$E$11+1,1))</f>
        <v>154.44480170404967</v>
      </c>
      <c r="BJ170" s="62">
        <f t="shared" si="146"/>
        <v>186.45728006007272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1.9895196601282805E-13</v>
      </c>
      <c r="BZ170" s="14">
        <f>BY170*VLOOKUP('Données projet'!$B$12,Paramètres!$A$1:$I$89,3,0)*VLOOKUP('Données projet'!$B$12,Paramètres!$A$1:$I$89,5,0)</f>
        <v>1.3035332813160495E-13</v>
      </c>
      <c r="CA170" s="14">
        <f t="shared" si="170"/>
        <v>1.8987770485018903E-12</v>
      </c>
      <c r="CB170" s="22">
        <f t="shared" si="171"/>
        <v>3.5340687393033375E-12</v>
      </c>
      <c r="CC170" s="62">
        <f t="shared" si="119"/>
        <v>293.33333333333684</v>
      </c>
      <c r="CD170" s="62">
        <f ca="1">AVERAGE(OFFSET($CC$3,0,0,'Données projet'!$E$12+1,1))-AVERAGE(OFFSET($H$3,0,0,'Données projet'!$E$12+1,1))</f>
        <v>154.44480170404967</v>
      </c>
      <c r="CE170" s="62">
        <f t="shared" si="148"/>
        <v>186.45728006007272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9">
        <f t="shared" si="110"/>
        <v>496.60240456432382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1.9508661353029313E-13</v>
      </c>
      <c r="P171" s="14">
        <f t="shared" si="141"/>
        <v>2.711421636700695E-12</v>
      </c>
      <c r="Q171" s="22">
        <f t="shared" si="162"/>
        <v>5.0621685358189711E-12</v>
      </c>
      <c r="R171" s="62">
        <f t="shared" si="109"/>
        <v>293.33333333333837</v>
      </c>
      <c r="S171" s="62">
        <f ca="1">AVERAGE(OFFSET($R$3,0,0,'Données projet'!$E$9+1,1))-AVERAGE(OFFSET($H$3,0,0,'Données projet'!$E$9+1,1))</f>
        <v>178.42783874015521</v>
      </c>
      <c r="T171" s="62">
        <f t="shared" si="142"/>
        <v>140.03904900962556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3.8715352340946294E-2</v>
      </c>
      <c r="AB171" s="23">
        <f>EXP(-LN(2)/2)*AB170+(1-EXP(-LN(2)/2))/(LN(2)/2)*V171*Y171*VLOOKUP('Données projet'!$B$9,Paramètres!$A$1:$I$89,3,0)*0.475*44/12</f>
        <v>1.1636922135814253E-21</v>
      </c>
      <c r="AC171" s="24">
        <f t="shared" si="163"/>
        <v>3.8715352340946294E-2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216.16876563248064</v>
      </c>
      <c r="AO171" s="62">
        <f t="shared" si="144"/>
        <v>137.55906339137317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5.0368205312899657E-2</v>
      </c>
      <c r="AW171" s="23">
        <f>EXP(-LN(2)/2)*AW170+(1-EXP(-LN(2)/2))/(LN(2)/2)*AQ171*AT171*VLOOKUP('Données projet'!$B$10,Paramètres!$A$1:$I$89,3,0)*0.475*44/12</f>
        <v>7.4555618780540242E-21</v>
      </c>
      <c r="AX171" s="23">
        <f t="shared" si="166"/>
        <v>5.0368205312899657E-2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1.9895196601282805E-13</v>
      </c>
      <c r="BE171" s="14">
        <f>BD171*VLOOKUP('Données projet'!$B$11,Paramètres!$A$1:$I$89,3,0)*VLOOKUP('Données projet'!$B$11,Paramètres!$A$1:$I$89,5,0)</f>
        <v>1.3035332813160495E-13</v>
      </c>
      <c r="BF171" s="14">
        <f t="shared" si="167"/>
        <v>1.8987770485018903E-12</v>
      </c>
      <c r="BG171" s="22">
        <f t="shared" si="168"/>
        <v>3.5340687393033375E-12</v>
      </c>
      <c r="BH171" s="62">
        <f t="shared" si="116"/>
        <v>293.33333333333684</v>
      </c>
      <c r="BI171" s="62">
        <f ca="1">AVERAGE(OFFSET($BH$3,0,0,'Données projet'!$E$11+1,1))-AVERAGE(OFFSET($H$3,0,0,'Données projet'!$E$11+1,1))</f>
        <v>154.44480170404967</v>
      </c>
      <c r="BJ171" s="62">
        <f t="shared" si="146"/>
        <v>186.45728006007272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1.9895196601282805E-13</v>
      </c>
      <c r="BZ171" s="14">
        <f>BY171*VLOOKUP('Données projet'!$B$12,Paramètres!$A$1:$I$89,3,0)*VLOOKUP('Données projet'!$B$12,Paramètres!$A$1:$I$89,5,0)</f>
        <v>1.3035332813160495E-13</v>
      </c>
      <c r="CA171" s="14">
        <f t="shared" si="170"/>
        <v>1.8987770485018903E-12</v>
      </c>
      <c r="CB171" s="22">
        <f t="shared" si="171"/>
        <v>3.5340687393033375E-12</v>
      </c>
      <c r="CC171" s="62">
        <f t="shared" si="119"/>
        <v>293.33333333333684</v>
      </c>
      <c r="CD171" s="62">
        <f ca="1">AVERAGE(OFFSET($CC$3,0,0,'Données projet'!$E$12+1,1))-AVERAGE(OFFSET($H$3,0,0,'Données projet'!$E$12+1,1))</f>
        <v>154.44480170404967</v>
      </c>
      <c r="CE171" s="62">
        <f t="shared" si="148"/>
        <v>186.45728006007272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9">
        <f t="shared" si="110"/>
        <v>497.78211456285305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1.9508661353029313E-13</v>
      </c>
      <c r="P172" s="14">
        <f t="shared" si="141"/>
        <v>2.711421636700695E-12</v>
      </c>
      <c r="Q172" s="22">
        <f t="shared" si="162"/>
        <v>5.0621685358189711E-12</v>
      </c>
      <c r="R172" s="62">
        <f t="shared" si="109"/>
        <v>293.33333333333837</v>
      </c>
      <c r="S172" s="62">
        <f ca="1">AVERAGE(OFFSET($R$3,0,0,'Données projet'!$E$9+1,1))-AVERAGE(OFFSET($H$3,0,0,'Données projet'!$E$9+1,1))</f>
        <v>178.42783874015521</v>
      </c>
      <c r="T172" s="62">
        <f t="shared" si="142"/>
        <v>140.03904900962556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3.7656678995231223E-2</v>
      </c>
      <c r="AB172" s="23">
        <f>EXP(-LN(2)/2)*AB171+(1-EXP(-LN(2)/2))/(LN(2)/2)*V172*Y172*VLOOKUP('Données projet'!$B$9,Paramètres!$A$1:$I$89,3,0)*0.475*44/12</f>
        <v>8.2285465543741008E-22</v>
      </c>
      <c r="AC172" s="24">
        <f t="shared" si="163"/>
        <v>3.7656678995231223E-2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216.16876563248064</v>
      </c>
      <c r="AO172" s="62">
        <f t="shared" si="144"/>
        <v>137.55906339137317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4.8990884089869617E-2</v>
      </c>
      <c r="AW172" s="23">
        <f>EXP(-LN(2)/2)*AW171+(1-EXP(-LN(2)/2))/(LN(2)/2)*AQ172*AT172*VLOOKUP('Données projet'!$B$10,Paramètres!$A$1:$I$89,3,0)*0.475*44/12</f>
        <v>5.2718783615279123E-21</v>
      </c>
      <c r="AX172" s="23">
        <f t="shared" si="166"/>
        <v>4.8990884089869617E-2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1.9895196601282805E-13</v>
      </c>
      <c r="BE172" s="14">
        <f>BD172*VLOOKUP('Données projet'!$B$11,Paramètres!$A$1:$I$89,3,0)*VLOOKUP('Données projet'!$B$11,Paramètres!$A$1:$I$89,5,0)</f>
        <v>1.3035332813160495E-13</v>
      </c>
      <c r="BF172" s="14">
        <f t="shared" si="167"/>
        <v>1.8987770485018903E-12</v>
      </c>
      <c r="BG172" s="22">
        <f t="shared" si="168"/>
        <v>3.5340687393033375E-12</v>
      </c>
      <c r="BH172" s="62">
        <f t="shared" si="116"/>
        <v>293.33333333333684</v>
      </c>
      <c r="BI172" s="62">
        <f ca="1">AVERAGE(OFFSET($BH$3,0,0,'Données projet'!$E$11+1,1))-AVERAGE(OFFSET($H$3,0,0,'Données projet'!$E$11+1,1))</f>
        <v>154.44480170404967</v>
      </c>
      <c r="BJ172" s="62">
        <f t="shared" si="146"/>
        <v>186.45728006007272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1.9895196601282805E-13</v>
      </c>
      <c r="BZ172" s="14">
        <f>BY172*VLOOKUP('Données projet'!$B$12,Paramètres!$A$1:$I$89,3,0)*VLOOKUP('Données projet'!$B$12,Paramètres!$A$1:$I$89,5,0)</f>
        <v>1.3035332813160495E-13</v>
      </c>
      <c r="CA172" s="14">
        <f t="shared" si="170"/>
        <v>1.8987770485018903E-12</v>
      </c>
      <c r="CB172" s="22">
        <f t="shared" si="171"/>
        <v>3.5340687393033375E-12</v>
      </c>
      <c r="CC172" s="62">
        <f t="shared" si="119"/>
        <v>293.33333333333684</v>
      </c>
      <c r="CD172" s="62">
        <f ca="1">AVERAGE(OFFSET($CC$3,0,0,'Données projet'!$E$12+1,1))-AVERAGE(OFFSET($H$3,0,0,'Données projet'!$E$12+1,1))</f>
        <v>154.44480170404967</v>
      </c>
      <c r="CE172" s="62">
        <f t="shared" si="148"/>
        <v>186.45728006007272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9">
        <f t="shared" si="110"/>
        <v>498.96166705451697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1.9508661353029313E-13</v>
      </c>
      <c r="P173" s="14">
        <f t="shared" si="141"/>
        <v>2.711421636700695E-12</v>
      </c>
      <c r="Q173" s="22">
        <f t="shared" si="162"/>
        <v>5.0621685358189711E-12</v>
      </c>
      <c r="R173" s="62">
        <f t="shared" si="109"/>
        <v>293.33333333333837</v>
      </c>
      <c r="S173" s="62">
        <f ca="1">AVERAGE(OFFSET($R$3,0,0,'Données projet'!$E$9+1,1))-AVERAGE(OFFSET($H$3,0,0,'Données projet'!$E$9+1,1))</f>
        <v>178.42783874015521</v>
      </c>
      <c r="T173" s="62">
        <f t="shared" si="142"/>
        <v>140.03904900962556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3.6626955127827945E-2</v>
      </c>
      <c r="AB173" s="23">
        <f>EXP(-LN(2)/2)*AB172+(1-EXP(-LN(2)/2))/(LN(2)/2)*V173*Y173*VLOOKUP('Données projet'!$B$9,Paramètres!$A$1:$I$89,3,0)*0.475*44/12</f>
        <v>5.8184610679071276E-22</v>
      </c>
      <c r="AC173" s="24">
        <f t="shared" si="163"/>
        <v>3.6626955127827945E-2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216.16876563248064</v>
      </c>
      <c r="AO173" s="62">
        <f t="shared" si="144"/>
        <v>137.55906339137317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4.765122578811351E-2</v>
      </c>
      <c r="AW173" s="23">
        <f>EXP(-LN(2)/2)*AW172+(1-EXP(-LN(2)/2))/(LN(2)/2)*AQ173*AT173*VLOOKUP('Données projet'!$B$10,Paramètres!$A$1:$I$89,3,0)*0.475*44/12</f>
        <v>3.7277809390270121E-21</v>
      </c>
      <c r="AX173" s="23">
        <f t="shared" si="166"/>
        <v>4.765122578811351E-2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1.9895196601282805E-13</v>
      </c>
      <c r="BE173" s="14">
        <f>BD173*VLOOKUP('Données projet'!$B$11,Paramètres!$A$1:$I$89,3,0)*VLOOKUP('Données projet'!$B$11,Paramètres!$A$1:$I$89,5,0)</f>
        <v>1.3035332813160495E-13</v>
      </c>
      <c r="BF173" s="14">
        <f t="shared" si="167"/>
        <v>1.8987770485018903E-12</v>
      </c>
      <c r="BG173" s="22">
        <f t="shared" si="168"/>
        <v>3.5340687393033375E-12</v>
      </c>
      <c r="BH173" s="62">
        <f t="shared" si="116"/>
        <v>293.33333333333684</v>
      </c>
      <c r="BI173" s="62">
        <f ca="1">AVERAGE(OFFSET($BH$3,0,0,'Données projet'!$E$11+1,1))-AVERAGE(OFFSET($H$3,0,0,'Données projet'!$E$11+1,1))</f>
        <v>154.44480170404967</v>
      </c>
      <c r="BJ173" s="62">
        <f t="shared" si="146"/>
        <v>186.45728006007272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1.9895196601282805E-13</v>
      </c>
      <c r="BZ173" s="14">
        <f>BY173*VLOOKUP('Données projet'!$B$12,Paramètres!$A$1:$I$89,3,0)*VLOOKUP('Données projet'!$B$12,Paramètres!$A$1:$I$89,5,0)</f>
        <v>1.3035332813160495E-13</v>
      </c>
      <c r="CA173" s="14">
        <f t="shared" si="170"/>
        <v>1.8987770485018903E-12</v>
      </c>
      <c r="CB173" s="22">
        <f t="shared" si="171"/>
        <v>3.5340687393033375E-12</v>
      </c>
      <c r="CC173" s="62">
        <f t="shared" si="119"/>
        <v>293.33333333333684</v>
      </c>
      <c r="CD173" s="62">
        <f ca="1">AVERAGE(OFFSET($CC$3,0,0,'Données projet'!$E$12+1,1))-AVERAGE(OFFSET($H$3,0,0,'Données projet'!$E$12+1,1))</f>
        <v>154.44480170404967</v>
      </c>
      <c r="CE173" s="62">
        <f t="shared" si="148"/>
        <v>186.45728006007272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9">
        <f t="shared" si="110"/>
        <v>500.1410630733302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1.9508661353029313E-13</v>
      </c>
      <c r="P174" s="14">
        <f t="shared" si="141"/>
        <v>2.711421636700695E-12</v>
      </c>
      <c r="Q174" s="22">
        <f t="shared" si="162"/>
        <v>5.0621685358189711E-12</v>
      </c>
      <c r="R174" s="62">
        <f t="shared" si="109"/>
        <v>293.33333333333837</v>
      </c>
      <c r="S174" s="62">
        <f ca="1">AVERAGE(OFFSET($R$3,0,0,'Données projet'!$E$9+1,1))-AVERAGE(OFFSET($H$3,0,0,'Données projet'!$E$9+1,1))</f>
        <v>178.42783874015521</v>
      </c>
      <c r="T174" s="62">
        <f t="shared" si="142"/>
        <v>140.03904900962556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3.562538911372963E-2</v>
      </c>
      <c r="AB174" s="23">
        <f>EXP(-LN(2)/2)*AB173+(1-EXP(-LN(2)/2))/(LN(2)/2)*V174*Y174*VLOOKUP('Données projet'!$B$9,Paramètres!$A$1:$I$89,3,0)*0.475*44/12</f>
        <v>4.1142732771870513E-22</v>
      </c>
      <c r="AC174" s="24">
        <f t="shared" si="163"/>
        <v>3.562538911372963E-2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216.16876563248064</v>
      </c>
      <c r="AO174" s="62">
        <f t="shared" si="144"/>
        <v>137.55906339137317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4.634820051306849E-2</v>
      </c>
      <c r="AW174" s="23">
        <f>EXP(-LN(2)/2)*AW173+(1-EXP(-LN(2)/2))/(LN(2)/2)*AQ174*AT174*VLOOKUP('Données projet'!$B$10,Paramètres!$A$1:$I$89,3,0)*0.475*44/12</f>
        <v>2.6359391807639561E-21</v>
      </c>
      <c r="AX174" s="23">
        <f t="shared" si="166"/>
        <v>4.634820051306849E-2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1.9895196601282805E-13</v>
      </c>
      <c r="BE174" s="14">
        <f>BD174*VLOOKUP('Données projet'!$B$11,Paramètres!$A$1:$I$89,3,0)*VLOOKUP('Données projet'!$B$11,Paramètres!$A$1:$I$89,5,0)</f>
        <v>1.3035332813160495E-13</v>
      </c>
      <c r="BF174" s="14">
        <f t="shared" si="167"/>
        <v>1.8987770485018903E-12</v>
      </c>
      <c r="BG174" s="22">
        <f t="shared" si="168"/>
        <v>3.5340687393033375E-12</v>
      </c>
      <c r="BH174" s="62">
        <f t="shared" si="116"/>
        <v>293.33333333333684</v>
      </c>
      <c r="BI174" s="62">
        <f ca="1">AVERAGE(OFFSET($BH$3,0,0,'Données projet'!$E$11+1,1))-AVERAGE(OFFSET($H$3,0,0,'Données projet'!$E$11+1,1))</f>
        <v>154.44480170404967</v>
      </c>
      <c r="BJ174" s="62">
        <f t="shared" si="146"/>
        <v>186.45728006007272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1.9895196601282805E-13</v>
      </c>
      <c r="BZ174" s="14">
        <f>BY174*VLOOKUP('Données projet'!$B$12,Paramètres!$A$1:$I$89,3,0)*VLOOKUP('Données projet'!$B$12,Paramètres!$A$1:$I$89,5,0)</f>
        <v>1.3035332813160495E-13</v>
      </c>
      <c r="CA174" s="14">
        <f t="shared" si="170"/>
        <v>1.8987770485018903E-12</v>
      </c>
      <c r="CB174" s="22">
        <f t="shared" si="171"/>
        <v>3.5340687393033375E-12</v>
      </c>
      <c r="CC174" s="62">
        <f t="shared" si="119"/>
        <v>293.33333333333684</v>
      </c>
      <c r="CD174" s="62">
        <f ca="1">AVERAGE(OFFSET($CC$3,0,0,'Données projet'!$E$12+1,1))-AVERAGE(OFFSET($H$3,0,0,'Données projet'!$E$12+1,1))</f>
        <v>154.44480170404967</v>
      </c>
      <c r="CE174" s="62">
        <f t="shared" si="148"/>
        <v>186.45728006007272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9">
        <f t="shared" si="110"/>
        <v>501.32030364051411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1.9508661353029313E-13</v>
      </c>
      <c r="P175" s="14">
        <f t="shared" si="141"/>
        <v>2.711421636700695E-12</v>
      </c>
      <c r="Q175" s="22">
        <f t="shared" si="162"/>
        <v>5.0621685358189711E-12</v>
      </c>
      <c r="R175" s="62">
        <f t="shared" si="109"/>
        <v>293.33333333333837</v>
      </c>
      <c r="S175" s="62">
        <f ca="1">AVERAGE(OFFSET($R$3,0,0,'Données projet'!$E$9+1,1))-AVERAGE(OFFSET($H$3,0,0,'Données projet'!$E$9+1,1))</f>
        <v>178.42783874015521</v>
      </c>
      <c r="T175" s="62">
        <f t="shared" si="142"/>
        <v>140.03904900962556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3.4651210974956902E-2</v>
      </c>
      <c r="AB175" s="23">
        <f>EXP(-LN(2)/2)*AB174+(1-EXP(-LN(2)/2))/(LN(2)/2)*V175*Y175*VLOOKUP('Données projet'!$B$9,Paramètres!$A$1:$I$89,3,0)*0.475*44/12</f>
        <v>2.9092305339535643E-22</v>
      </c>
      <c r="AC175" s="24">
        <f t="shared" si="163"/>
        <v>3.4651210974956902E-2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216.16876563248064</v>
      </c>
      <c r="AO175" s="62">
        <f t="shared" si="144"/>
        <v>137.55906339137317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4.5080806532692697E-2</v>
      </c>
      <c r="AW175" s="23">
        <f>EXP(-LN(2)/2)*AW174+(1-EXP(-LN(2)/2))/(LN(2)/2)*AQ175*AT175*VLOOKUP('Données projet'!$B$10,Paramètres!$A$1:$I$89,3,0)*0.475*44/12</f>
        <v>1.8638904695135061E-21</v>
      </c>
      <c r="AX175" s="23">
        <f t="shared" si="166"/>
        <v>4.5080806532692697E-2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1.9895196601282805E-13</v>
      </c>
      <c r="BE175" s="14">
        <f>BD175*VLOOKUP('Données projet'!$B$11,Paramètres!$A$1:$I$89,3,0)*VLOOKUP('Données projet'!$B$11,Paramètres!$A$1:$I$89,5,0)</f>
        <v>1.3035332813160495E-13</v>
      </c>
      <c r="BF175" s="14">
        <f t="shared" si="167"/>
        <v>1.8987770485018903E-12</v>
      </c>
      <c r="BG175" s="22">
        <f t="shared" si="168"/>
        <v>3.5340687393033375E-12</v>
      </c>
      <c r="BH175" s="62">
        <f t="shared" si="116"/>
        <v>293.33333333333684</v>
      </c>
      <c r="BI175" s="62">
        <f ca="1">AVERAGE(OFFSET($BH$3,0,0,'Données projet'!$E$11+1,1))-AVERAGE(OFFSET($H$3,0,0,'Données projet'!$E$11+1,1))</f>
        <v>154.44480170404967</v>
      </c>
      <c r="BJ175" s="62">
        <f t="shared" si="146"/>
        <v>186.45728006007272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1.9895196601282805E-13</v>
      </c>
      <c r="BZ175" s="14">
        <f>BY175*VLOOKUP('Données projet'!$B$12,Paramètres!$A$1:$I$89,3,0)*VLOOKUP('Données projet'!$B$12,Paramètres!$A$1:$I$89,5,0)</f>
        <v>1.3035332813160495E-13</v>
      </c>
      <c r="CA175" s="14">
        <f t="shared" si="170"/>
        <v>1.8987770485018903E-12</v>
      </c>
      <c r="CB175" s="22">
        <f t="shared" si="171"/>
        <v>3.5340687393033375E-12</v>
      </c>
      <c r="CC175" s="62">
        <f t="shared" si="119"/>
        <v>293.33333333333684</v>
      </c>
      <c r="CD175" s="62">
        <f ca="1">AVERAGE(OFFSET($CC$3,0,0,'Données projet'!$E$12+1,1))-AVERAGE(OFFSET($H$3,0,0,'Données projet'!$E$12+1,1))</f>
        <v>154.44480170404967</v>
      </c>
      <c r="CE175" s="62">
        <f t="shared" si="148"/>
        <v>186.45728006007272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9">
        <f t="shared" si="110"/>
        <v>502.49938976472833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1.9508661353029313E-13</v>
      </c>
      <c r="P176" s="14">
        <f t="shared" si="141"/>
        <v>2.711421636700695E-12</v>
      </c>
      <c r="Q176" s="22">
        <f t="shared" si="162"/>
        <v>5.0621685358189711E-12</v>
      </c>
      <c r="R176" s="62">
        <f t="shared" si="109"/>
        <v>293.33333333333837</v>
      </c>
      <c r="S176" s="62">
        <f ca="1">AVERAGE(OFFSET($R$3,0,0,'Données projet'!$E$9+1,1))-AVERAGE(OFFSET($H$3,0,0,'Données projet'!$E$9+1,1))</f>
        <v>178.42783874015521</v>
      </c>
      <c r="T176" s="62">
        <f t="shared" si="142"/>
        <v>140.03904900962556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3.3703671788618716E-2</v>
      </c>
      <c r="AB176" s="23">
        <f>EXP(-LN(2)/2)*AB175+(1-EXP(-LN(2)/2))/(LN(2)/2)*V176*Y176*VLOOKUP('Données projet'!$B$9,Paramètres!$A$1:$I$89,3,0)*0.475*44/12</f>
        <v>2.0571366385935259E-22</v>
      </c>
      <c r="AC176" s="24">
        <f t="shared" si="163"/>
        <v>3.3703671788618716E-2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216.16876563248064</v>
      </c>
      <c r="AO176" s="62">
        <f t="shared" si="144"/>
        <v>137.55906339137317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4.384806950735963E-2</v>
      </c>
      <c r="AW176" s="23">
        <f>EXP(-LN(2)/2)*AW175+(1-EXP(-LN(2)/2))/(LN(2)/2)*AQ176*AT176*VLOOKUP('Données projet'!$B$10,Paramètres!$A$1:$I$89,3,0)*0.475*44/12</f>
        <v>1.3179695903819781E-21</v>
      </c>
      <c r="AX176" s="23">
        <f t="shared" si="166"/>
        <v>4.384806950735963E-2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1.9895196601282805E-13</v>
      </c>
      <c r="BE176" s="14">
        <f>BD176*VLOOKUP('Données projet'!$B$11,Paramètres!$A$1:$I$89,3,0)*VLOOKUP('Données projet'!$B$11,Paramètres!$A$1:$I$89,5,0)</f>
        <v>1.3035332813160495E-13</v>
      </c>
      <c r="BF176" s="14">
        <f t="shared" si="167"/>
        <v>1.8987770485018903E-12</v>
      </c>
      <c r="BG176" s="22">
        <f t="shared" si="168"/>
        <v>3.5340687393033375E-12</v>
      </c>
      <c r="BH176" s="62">
        <f t="shared" si="116"/>
        <v>293.33333333333684</v>
      </c>
      <c r="BI176" s="62">
        <f ca="1">AVERAGE(OFFSET($BH$3,0,0,'Données projet'!$E$11+1,1))-AVERAGE(OFFSET($H$3,0,0,'Données projet'!$E$11+1,1))</f>
        <v>154.44480170404967</v>
      </c>
      <c r="BJ176" s="62">
        <f t="shared" si="146"/>
        <v>186.45728006007272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1.9895196601282805E-13</v>
      </c>
      <c r="BZ176" s="14">
        <f>BY176*VLOOKUP('Données projet'!$B$12,Paramètres!$A$1:$I$89,3,0)*VLOOKUP('Données projet'!$B$12,Paramètres!$A$1:$I$89,5,0)</f>
        <v>1.3035332813160495E-13</v>
      </c>
      <c r="CA176" s="14">
        <f t="shared" si="170"/>
        <v>1.8987770485018903E-12</v>
      </c>
      <c r="CB176" s="22">
        <f t="shared" si="171"/>
        <v>3.5340687393033375E-12</v>
      </c>
      <c r="CC176" s="62">
        <f t="shared" si="119"/>
        <v>293.33333333333684</v>
      </c>
      <c r="CD176" s="62">
        <f ca="1">AVERAGE(OFFSET($CC$3,0,0,'Données projet'!$E$12+1,1))-AVERAGE(OFFSET($H$3,0,0,'Données projet'!$E$12+1,1))</f>
        <v>154.44480170404967</v>
      </c>
      <c r="CE176" s="62">
        <f t="shared" si="148"/>
        <v>186.45728006007272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9">
        <f t="shared" si="110"/>
        <v>503.67832244229692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1.9508661353029313E-13</v>
      </c>
      <c r="P177" s="14">
        <f t="shared" si="141"/>
        <v>2.711421636700695E-12</v>
      </c>
      <c r="Q177" s="22">
        <f t="shared" si="162"/>
        <v>5.0621685358189711E-12</v>
      </c>
      <c r="R177" s="62">
        <f t="shared" si="109"/>
        <v>293.33333333333837</v>
      </c>
      <c r="S177" s="62">
        <f ca="1">AVERAGE(OFFSET($R$3,0,0,'Données projet'!$E$9+1,1))-AVERAGE(OFFSET($H$3,0,0,'Données projet'!$E$9+1,1))</f>
        <v>178.42783874015521</v>
      </c>
      <c r="T177" s="62">
        <f t="shared" si="142"/>
        <v>140.03904900962556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3.278204311115987E-2</v>
      </c>
      <c r="AB177" s="23">
        <f>EXP(-LN(2)/2)*AB176+(1-EXP(-LN(2)/2))/(LN(2)/2)*V177*Y177*VLOOKUP('Données projet'!$B$9,Paramètres!$A$1:$I$89,3,0)*0.475*44/12</f>
        <v>1.4546152669767824E-22</v>
      </c>
      <c r="AC177" s="24">
        <f t="shared" si="163"/>
        <v>3.278204311115987E-2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216.16876563248064</v>
      </c>
      <c r="AO177" s="62">
        <f t="shared" si="144"/>
        <v>137.55906339137317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4.2649041740811119E-2</v>
      </c>
      <c r="AW177" s="23">
        <f>EXP(-LN(2)/2)*AW176+(1-EXP(-LN(2)/2))/(LN(2)/2)*AQ177*AT177*VLOOKUP('Données projet'!$B$10,Paramètres!$A$1:$I$89,3,0)*0.475*44/12</f>
        <v>9.3194523475675303E-22</v>
      </c>
      <c r="AX177" s="23">
        <f t="shared" si="166"/>
        <v>4.2649041740811119E-2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1.9895196601282805E-13</v>
      </c>
      <c r="BE177" s="14">
        <f>BD177*VLOOKUP('Données projet'!$B$11,Paramètres!$A$1:$I$89,3,0)*VLOOKUP('Données projet'!$B$11,Paramètres!$A$1:$I$89,5,0)</f>
        <v>1.3035332813160495E-13</v>
      </c>
      <c r="BF177" s="14">
        <f t="shared" si="167"/>
        <v>1.8987770485018903E-12</v>
      </c>
      <c r="BG177" s="22">
        <f t="shared" si="168"/>
        <v>3.5340687393033375E-12</v>
      </c>
      <c r="BH177" s="62">
        <f t="shared" si="116"/>
        <v>293.33333333333684</v>
      </c>
      <c r="BI177" s="62">
        <f ca="1">AVERAGE(OFFSET($BH$3,0,0,'Données projet'!$E$11+1,1))-AVERAGE(OFFSET($H$3,0,0,'Données projet'!$E$11+1,1))</f>
        <v>154.44480170404967</v>
      </c>
      <c r="BJ177" s="62">
        <f t="shared" si="146"/>
        <v>186.45728006007272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1.9895196601282805E-13</v>
      </c>
      <c r="BZ177" s="14">
        <f>BY177*VLOOKUP('Données projet'!$B$12,Paramètres!$A$1:$I$89,3,0)*VLOOKUP('Données projet'!$B$12,Paramètres!$A$1:$I$89,5,0)</f>
        <v>1.3035332813160495E-13</v>
      </c>
      <c r="CA177" s="14">
        <f t="shared" si="170"/>
        <v>1.8987770485018903E-12</v>
      </c>
      <c r="CB177" s="22">
        <f t="shared" si="171"/>
        <v>3.5340687393033375E-12</v>
      </c>
      <c r="CC177" s="62">
        <f t="shared" si="119"/>
        <v>293.33333333333684</v>
      </c>
      <c r="CD177" s="62">
        <f ca="1">AVERAGE(OFFSET($CC$3,0,0,'Données projet'!$E$12+1,1))-AVERAGE(OFFSET($H$3,0,0,'Données projet'!$E$12+1,1))</f>
        <v>154.44480170404967</v>
      </c>
      <c r="CE177" s="62">
        <f t="shared" si="148"/>
        <v>186.45728006007272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9">
        <f t="shared" si="110"/>
        <v>504.85710265742932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1.9508661353029313E-13</v>
      </c>
      <c r="P178" s="14">
        <f t="shared" si="141"/>
        <v>2.711421636700695E-12</v>
      </c>
      <c r="Q178" s="22">
        <f t="shared" si="162"/>
        <v>5.0621685358189711E-12</v>
      </c>
      <c r="R178" s="62">
        <f t="shared" si="109"/>
        <v>293.33333333333837</v>
      </c>
      <c r="S178" s="62">
        <f ca="1">AVERAGE(OFFSET($R$3,0,0,'Données projet'!$E$9+1,1))-AVERAGE(OFFSET($H$3,0,0,'Données projet'!$E$9+1,1))</f>
        <v>178.42783874015521</v>
      </c>
      <c r="T178" s="62">
        <f t="shared" si="142"/>
        <v>140.03904900962556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3.1885616418352483E-2</v>
      </c>
      <c r="AB178" s="23">
        <f>EXP(-LN(2)/2)*AB177+(1-EXP(-LN(2)/2))/(LN(2)/2)*V178*Y178*VLOOKUP('Données projet'!$B$9,Paramètres!$A$1:$I$89,3,0)*0.475*44/12</f>
        <v>1.0285683192967632E-22</v>
      </c>
      <c r="AC178" s="24">
        <f t="shared" si="163"/>
        <v>3.1885616418352483E-2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216.16876563248064</v>
      </c>
      <c r="AO178" s="62">
        <f t="shared" si="144"/>
        <v>137.55906339137317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4.1482801451593013E-2</v>
      </c>
      <c r="AW178" s="23">
        <f>EXP(-LN(2)/2)*AW177+(1-EXP(-LN(2)/2))/(LN(2)/2)*AQ178*AT178*VLOOKUP('Données projet'!$B$10,Paramètres!$A$1:$I$89,3,0)*0.475*44/12</f>
        <v>6.5898479519098904E-22</v>
      </c>
      <c r="AX178" s="23">
        <f t="shared" si="166"/>
        <v>4.1482801451593013E-2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1.9895196601282805E-13</v>
      </c>
      <c r="BE178" s="14">
        <f>BD178*VLOOKUP('Données projet'!$B$11,Paramètres!$A$1:$I$89,3,0)*VLOOKUP('Données projet'!$B$11,Paramètres!$A$1:$I$89,5,0)</f>
        <v>1.3035332813160495E-13</v>
      </c>
      <c r="BF178" s="14">
        <f t="shared" si="167"/>
        <v>1.8987770485018903E-12</v>
      </c>
      <c r="BG178" s="22">
        <f t="shared" si="168"/>
        <v>3.5340687393033375E-12</v>
      </c>
      <c r="BH178" s="62">
        <f t="shared" si="116"/>
        <v>293.33333333333684</v>
      </c>
      <c r="BI178" s="62">
        <f ca="1">AVERAGE(OFFSET($BH$3,0,0,'Données projet'!$E$11+1,1))-AVERAGE(OFFSET($H$3,0,0,'Données projet'!$E$11+1,1))</f>
        <v>154.44480170404967</v>
      </c>
      <c r="BJ178" s="62">
        <f t="shared" si="146"/>
        <v>186.45728006007272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1.9895196601282805E-13</v>
      </c>
      <c r="BZ178" s="14">
        <f>BY178*VLOOKUP('Données projet'!$B$12,Paramètres!$A$1:$I$89,3,0)*VLOOKUP('Données projet'!$B$12,Paramètres!$A$1:$I$89,5,0)</f>
        <v>1.3035332813160495E-13</v>
      </c>
      <c r="CA178" s="14">
        <f t="shared" si="170"/>
        <v>1.8987770485018903E-12</v>
      </c>
      <c r="CB178" s="22">
        <f t="shared" si="171"/>
        <v>3.5340687393033375E-12</v>
      </c>
      <c r="CC178" s="62">
        <f t="shared" si="119"/>
        <v>293.33333333333684</v>
      </c>
      <c r="CD178" s="62">
        <f ca="1">AVERAGE(OFFSET($CC$3,0,0,'Données projet'!$E$12+1,1))-AVERAGE(OFFSET($H$3,0,0,'Données projet'!$E$12+1,1))</f>
        <v>154.44480170404967</v>
      </c>
      <c r="CE178" s="62">
        <f t="shared" si="148"/>
        <v>186.45728006007272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9">
        <f t="shared" si="110"/>
        <v>506.03573138243593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1.9508661353029313E-13</v>
      </c>
      <c r="P179" s="14">
        <f t="shared" si="141"/>
        <v>2.711421636700695E-12</v>
      </c>
      <c r="Q179" s="22">
        <f t="shared" si="162"/>
        <v>5.0621685358189711E-12</v>
      </c>
      <c r="R179" s="62">
        <f t="shared" si="109"/>
        <v>293.33333333333837</v>
      </c>
      <c r="S179" s="62">
        <f ca="1">AVERAGE(OFFSET($R$3,0,0,'Données projet'!$E$9+1,1))-AVERAGE(OFFSET($H$3,0,0,'Données projet'!$E$9+1,1))</f>
        <v>178.42783874015521</v>
      </c>
      <c r="T179" s="62">
        <f t="shared" si="142"/>
        <v>140.03904900962556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3.1013702560600941E-2</v>
      </c>
      <c r="AB179" s="23">
        <f>EXP(-LN(2)/2)*AB178+(1-EXP(-LN(2)/2))/(LN(2)/2)*V179*Y179*VLOOKUP('Données projet'!$B$9,Paramètres!$A$1:$I$89,3,0)*0.475*44/12</f>
        <v>7.273076334883913E-23</v>
      </c>
      <c r="AC179" s="24">
        <f t="shared" si="163"/>
        <v>3.1013702560600941E-2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216.16876563248064</v>
      </c>
      <c r="AO179" s="62">
        <f t="shared" si="144"/>
        <v>137.55906339137317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4.0348452064413481E-2</v>
      </c>
      <c r="AW179" s="23">
        <f>EXP(-LN(2)/2)*AW178+(1-EXP(-LN(2)/2))/(LN(2)/2)*AQ179*AT179*VLOOKUP('Données projet'!$B$10,Paramètres!$A$1:$I$89,3,0)*0.475*44/12</f>
        <v>4.6597261737837651E-22</v>
      </c>
      <c r="AX179" s="23">
        <f t="shared" si="166"/>
        <v>4.0348452064413481E-2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1.9895196601282805E-13</v>
      </c>
      <c r="BE179" s="14">
        <f>BD179*VLOOKUP('Données projet'!$B$11,Paramètres!$A$1:$I$89,3,0)*VLOOKUP('Données projet'!$B$11,Paramètres!$A$1:$I$89,5,0)</f>
        <v>1.3035332813160495E-13</v>
      </c>
      <c r="BF179" s="14">
        <f t="shared" si="167"/>
        <v>1.8987770485018903E-12</v>
      </c>
      <c r="BG179" s="22">
        <f t="shared" si="168"/>
        <v>3.5340687393033375E-12</v>
      </c>
      <c r="BH179" s="62">
        <f t="shared" si="116"/>
        <v>293.33333333333684</v>
      </c>
      <c r="BI179" s="62">
        <f ca="1">AVERAGE(OFFSET($BH$3,0,0,'Données projet'!$E$11+1,1))-AVERAGE(OFFSET($H$3,0,0,'Données projet'!$E$11+1,1))</f>
        <v>154.44480170404967</v>
      </c>
      <c r="BJ179" s="62">
        <f t="shared" si="146"/>
        <v>186.45728006007272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1.9895196601282805E-13</v>
      </c>
      <c r="BZ179" s="14">
        <f>BY179*VLOOKUP('Données projet'!$B$12,Paramètres!$A$1:$I$89,3,0)*VLOOKUP('Données projet'!$B$12,Paramètres!$A$1:$I$89,5,0)</f>
        <v>1.3035332813160495E-13</v>
      </c>
      <c r="CA179" s="14">
        <f t="shared" si="170"/>
        <v>1.8987770485018903E-12</v>
      </c>
      <c r="CB179" s="22">
        <f t="shared" si="171"/>
        <v>3.5340687393033375E-12</v>
      </c>
      <c r="CC179" s="62">
        <f t="shared" si="119"/>
        <v>293.33333333333684</v>
      </c>
      <c r="CD179" s="62">
        <f ca="1">AVERAGE(OFFSET($CC$3,0,0,'Données projet'!$E$12+1,1))-AVERAGE(OFFSET($H$3,0,0,'Données projet'!$E$12+1,1))</f>
        <v>154.44480170404967</v>
      </c>
      <c r="CE179" s="62">
        <f t="shared" si="148"/>
        <v>186.45728006007272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9">
        <f t="shared" si="110"/>
        <v>507.21420957793879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1.9508661353029313E-13</v>
      </c>
      <c r="P180" s="14">
        <f t="shared" si="141"/>
        <v>2.711421636700695E-12</v>
      </c>
      <c r="Q180" s="22">
        <f t="shared" si="162"/>
        <v>5.0621685358189711E-12</v>
      </c>
      <c r="R180" s="62">
        <f t="shared" si="109"/>
        <v>293.33333333333837</v>
      </c>
      <c r="S180" s="62">
        <f ca="1">AVERAGE(OFFSET($R$3,0,0,'Données projet'!$E$9+1,1))-AVERAGE(OFFSET($H$3,0,0,'Données projet'!$E$9+1,1))</f>
        <v>178.42783874015521</v>
      </c>
      <c r="T180" s="62">
        <f t="shared" si="142"/>
        <v>140.03904900962556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3.0165631233141574E-2</v>
      </c>
      <c r="AB180" s="23">
        <f>EXP(-LN(2)/2)*AB179+(1-EXP(-LN(2)/2))/(LN(2)/2)*V180*Y180*VLOOKUP('Données projet'!$B$9,Paramètres!$A$1:$I$89,3,0)*0.475*44/12</f>
        <v>5.1428415964838165E-23</v>
      </c>
      <c r="AC180" s="24">
        <f t="shared" si="163"/>
        <v>3.0165631233141574E-2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216.16876563248064</v>
      </c>
      <c r="AO180" s="62">
        <f t="shared" si="144"/>
        <v>137.55906339137317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3.9245121520879216E-2</v>
      </c>
      <c r="AW180" s="23">
        <f>EXP(-LN(2)/2)*AW179+(1-EXP(-LN(2)/2))/(LN(2)/2)*AQ180*AT180*VLOOKUP('Données projet'!$B$10,Paramètres!$A$1:$I$89,3,0)*0.475*44/12</f>
        <v>3.2949239759549452E-22</v>
      </c>
      <c r="AX180" s="23">
        <f t="shared" si="166"/>
        <v>3.9245121520879216E-2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1.9895196601282805E-13</v>
      </c>
      <c r="BE180" s="14">
        <f>BD180*VLOOKUP('Données projet'!$B$11,Paramètres!$A$1:$I$89,3,0)*VLOOKUP('Données projet'!$B$11,Paramètres!$A$1:$I$89,5,0)</f>
        <v>1.3035332813160495E-13</v>
      </c>
      <c r="BF180" s="14">
        <f t="shared" si="167"/>
        <v>1.8987770485018903E-12</v>
      </c>
      <c r="BG180" s="22">
        <f t="shared" si="168"/>
        <v>3.5340687393033375E-12</v>
      </c>
      <c r="BH180" s="62">
        <f t="shared" si="116"/>
        <v>293.33333333333684</v>
      </c>
      <c r="BI180" s="62">
        <f ca="1">AVERAGE(OFFSET($BH$3,0,0,'Données projet'!$E$11+1,1))-AVERAGE(OFFSET($H$3,0,0,'Données projet'!$E$11+1,1))</f>
        <v>154.44480170404967</v>
      </c>
      <c r="BJ180" s="62">
        <f t="shared" si="146"/>
        <v>186.45728006007272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1.9895196601282805E-13</v>
      </c>
      <c r="BZ180" s="14">
        <f>BY180*VLOOKUP('Données projet'!$B$12,Paramètres!$A$1:$I$89,3,0)*VLOOKUP('Données projet'!$B$12,Paramètres!$A$1:$I$89,5,0)</f>
        <v>1.3035332813160495E-13</v>
      </c>
      <c r="CA180" s="14">
        <f t="shared" si="170"/>
        <v>1.8987770485018903E-12</v>
      </c>
      <c r="CB180" s="22">
        <f t="shared" si="171"/>
        <v>3.5340687393033375E-12</v>
      </c>
      <c r="CC180" s="62">
        <f t="shared" si="119"/>
        <v>293.33333333333684</v>
      </c>
      <c r="CD180" s="62">
        <f ca="1">AVERAGE(OFFSET($CC$3,0,0,'Données projet'!$E$12+1,1))-AVERAGE(OFFSET($H$3,0,0,'Données projet'!$E$12+1,1))</f>
        <v>154.44480170404967</v>
      </c>
      <c r="CE180" s="62">
        <f t="shared" si="148"/>
        <v>186.45728006007272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9">
        <f t="shared" si="110"/>
        <v>508.39253819307743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1.9508661353029313E-13</v>
      </c>
      <c r="P181" s="14">
        <f t="shared" si="141"/>
        <v>2.711421636700695E-12</v>
      </c>
      <c r="Q181" s="22">
        <f t="shared" si="162"/>
        <v>5.0621685358189711E-12</v>
      </c>
      <c r="R181" s="62">
        <f t="shared" si="109"/>
        <v>293.33333333333837</v>
      </c>
      <c r="S181" s="62">
        <f ca="1">AVERAGE(OFFSET($R$3,0,0,'Données projet'!$E$9+1,1))-AVERAGE(OFFSET($H$3,0,0,'Données projet'!$E$9+1,1))</f>
        <v>178.42783874015521</v>
      </c>
      <c r="T181" s="62">
        <f t="shared" si="142"/>
        <v>140.03904900962556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2.9340750460729717E-2</v>
      </c>
      <c r="AB181" s="23">
        <f>EXP(-LN(2)/2)*AB180+(1-EXP(-LN(2)/2))/(LN(2)/2)*V181*Y181*VLOOKUP('Données projet'!$B$9,Paramètres!$A$1:$I$89,3,0)*0.475*44/12</f>
        <v>3.6365381674419571E-23</v>
      </c>
      <c r="AC181" s="24">
        <f t="shared" si="163"/>
        <v>2.9340750460729717E-2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216.16876563248064</v>
      </c>
      <c r="AO181" s="62">
        <f t="shared" si="144"/>
        <v>137.55906339137317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3.8171961609079527E-2</v>
      </c>
      <c r="AW181" s="23">
        <f>EXP(-LN(2)/2)*AW180+(1-EXP(-LN(2)/2))/(LN(2)/2)*AQ181*AT181*VLOOKUP('Données projet'!$B$10,Paramètres!$A$1:$I$89,3,0)*0.475*44/12</f>
        <v>2.3298630868918826E-22</v>
      </c>
      <c r="AX181" s="23">
        <f t="shared" si="166"/>
        <v>3.8171961609079527E-2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1.9895196601282805E-13</v>
      </c>
      <c r="BE181" s="14">
        <f>BD181*VLOOKUP('Données projet'!$B$11,Paramètres!$A$1:$I$89,3,0)*VLOOKUP('Données projet'!$B$11,Paramètres!$A$1:$I$89,5,0)</f>
        <v>1.3035332813160495E-13</v>
      </c>
      <c r="BF181" s="14">
        <f t="shared" si="167"/>
        <v>1.8987770485018903E-12</v>
      </c>
      <c r="BG181" s="22">
        <f t="shared" si="168"/>
        <v>3.5340687393033375E-12</v>
      </c>
      <c r="BH181" s="62">
        <f t="shared" si="116"/>
        <v>293.33333333333684</v>
      </c>
      <c r="BI181" s="62">
        <f ca="1">AVERAGE(OFFSET($BH$3,0,0,'Données projet'!$E$11+1,1))-AVERAGE(OFFSET($H$3,0,0,'Données projet'!$E$11+1,1))</f>
        <v>154.44480170404967</v>
      </c>
      <c r="BJ181" s="62">
        <f t="shared" si="146"/>
        <v>186.45728006007272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1.9895196601282805E-13</v>
      </c>
      <c r="BZ181" s="14">
        <f>BY181*VLOOKUP('Données projet'!$B$12,Paramètres!$A$1:$I$89,3,0)*VLOOKUP('Données projet'!$B$12,Paramètres!$A$1:$I$89,5,0)</f>
        <v>1.3035332813160495E-13</v>
      </c>
      <c r="CA181" s="14">
        <f t="shared" si="170"/>
        <v>1.8987770485018903E-12</v>
      </c>
      <c r="CB181" s="22">
        <f t="shared" si="171"/>
        <v>3.5340687393033375E-12</v>
      </c>
      <c r="CC181" s="62">
        <f t="shared" si="119"/>
        <v>293.33333333333684</v>
      </c>
      <c r="CD181" s="62">
        <f ca="1">AVERAGE(OFFSET($CC$3,0,0,'Données projet'!$E$12+1,1))-AVERAGE(OFFSET($H$3,0,0,'Données projet'!$E$12+1,1))</f>
        <v>154.44480170404967</v>
      </c>
      <c r="CE181" s="62">
        <f t="shared" si="148"/>
        <v>186.45728006007272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9">
        <f t="shared" si="110"/>
        <v>509.57071816570965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1.9508661353029313E-13</v>
      </c>
      <c r="P182" s="14">
        <f t="shared" si="141"/>
        <v>2.711421636700695E-12</v>
      </c>
      <c r="Q182" s="22">
        <f t="shared" si="162"/>
        <v>5.0621685358189711E-12</v>
      </c>
      <c r="R182" s="62">
        <f t="shared" si="109"/>
        <v>293.33333333333837</v>
      </c>
      <c r="S182" s="62">
        <f ca="1">AVERAGE(OFFSET($R$3,0,0,'Données projet'!$E$9+1,1))-AVERAGE(OFFSET($H$3,0,0,'Données projet'!$E$9+1,1))</f>
        <v>178.42783874015521</v>
      </c>
      <c r="T182" s="62">
        <f t="shared" si="142"/>
        <v>140.03904900962556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2.8538426096418056E-2</v>
      </c>
      <c r="AB182" s="23">
        <f>EXP(-LN(2)/2)*AB181+(1-EXP(-LN(2)/2))/(LN(2)/2)*V182*Y182*VLOOKUP('Données projet'!$B$9,Paramètres!$A$1:$I$89,3,0)*0.475*44/12</f>
        <v>2.5714207982419085E-23</v>
      </c>
      <c r="AC182" s="24">
        <f t="shared" si="163"/>
        <v>2.8538426096418056E-2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216.16876563248064</v>
      </c>
      <c r="AO182" s="62">
        <f t="shared" si="144"/>
        <v>137.55906339137317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3.7128147311503032E-2</v>
      </c>
      <c r="AW182" s="23">
        <f>EXP(-LN(2)/2)*AW181+(1-EXP(-LN(2)/2))/(LN(2)/2)*AQ182*AT182*VLOOKUP('Données projet'!$B$10,Paramètres!$A$1:$I$89,3,0)*0.475*44/12</f>
        <v>1.6474619879774726E-22</v>
      </c>
      <c r="AX182" s="23">
        <f t="shared" si="166"/>
        <v>3.7128147311503032E-2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1.9895196601282805E-13</v>
      </c>
      <c r="BE182" s="14">
        <f>BD182*VLOOKUP('Données projet'!$B$11,Paramètres!$A$1:$I$89,3,0)*VLOOKUP('Données projet'!$B$11,Paramètres!$A$1:$I$89,5,0)</f>
        <v>1.3035332813160495E-13</v>
      </c>
      <c r="BF182" s="14">
        <f t="shared" si="167"/>
        <v>1.8987770485018903E-12</v>
      </c>
      <c r="BG182" s="22">
        <f t="shared" si="168"/>
        <v>3.5340687393033375E-12</v>
      </c>
      <c r="BH182" s="62">
        <f t="shared" si="116"/>
        <v>293.33333333333684</v>
      </c>
      <c r="BI182" s="62">
        <f ca="1">AVERAGE(OFFSET($BH$3,0,0,'Données projet'!$E$11+1,1))-AVERAGE(OFFSET($H$3,0,0,'Données projet'!$E$11+1,1))</f>
        <v>154.44480170404967</v>
      </c>
      <c r="BJ182" s="62">
        <f t="shared" si="146"/>
        <v>186.45728006007272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1.9895196601282805E-13</v>
      </c>
      <c r="BZ182" s="14">
        <f>BY182*VLOOKUP('Données projet'!$B$12,Paramètres!$A$1:$I$89,3,0)*VLOOKUP('Données projet'!$B$12,Paramètres!$A$1:$I$89,5,0)</f>
        <v>1.3035332813160495E-13</v>
      </c>
      <c r="CA182" s="14">
        <f t="shared" si="170"/>
        <v>1.8987770485018903E-12</v>
      </c>
      <c r="CB182" s="22">
        <f t="shared" si="171"/>
        <v>3.5340687393033375E-12</v>
      </c>
      <c r="CC182" s="62">
        <f t="shared" si="119"/>
        <v>293.33333333333684</v>
      </c>
      <c r="CD182" s="62">
        <f ca="1">AVERAGE(OFFSET($CC$3,0,0,'Données projet'!$E$12+1,1))-AVERAGE(OFFSET($H$3,0,0,'Données projet'!$E$12+1,1))</f>
        <v>154.44480170404967</v>
      </c>
      <c r="CE182" s="62">
        <f t="shared" si="148"/>
        <v>186.45728006007272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9">
        <f t="shared" si="110"/>
        <v>510.74875042260788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1.9508661353029313E-13</v>
      </c>
      <c r="P183" s="14">
        <f t="shared" si="141"/>
        <v>2.711421636700695E-12</v>
      </c>
      <c r="Q183" s="22">
        <f t="shared" si="162"/>
        <v>5.0621685358189711E-12</v>
      </c>
      <c r="R183" s="62">
        <f t="shared" si="109"/>
        <v>293.33333333333837</v>
      </c>
      <c r="S183" s="62">
        <f ca="1">AVERAGE(OFFSET($R$3,0,0,'Données projet'!$E$9+1,1))-AVERAGE(OFFSET($H$3,0,0,'Données projet'!$E$9+1,1))</f>
        <v>178.42783874015521</v>
      </c>
      <c r="T183" s="62">
        <f t="shared" si="142"/>
        <v>140.03904900962556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2.7758041334040903E-2</v>
      </c>
      <c r="AB183" s="23">
        <f>EXP(-LN(2)/2)*AB182+(1-EXP(-LN(2)/2))/(LN(2)/2)*V183*Y183*VLOOKUP('Données projet'!$B$9,Paramètres!$A$1:$I$89,3,0)*0.475*44/12</f>
        <v>1.8182690837209788E-23</v>
      </c>
      <c r="AC183" s="24">
        <f t="shared" si="163"/>
        <v>2.7758041334040903E-2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216.16876563248064</v>
      </c>
      <c r="AO183" s="62">
        <f t="shared" si="144"/>
        <v>137.55906339137317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3.6112876170785575E-2</v>
      </c>
      <c r="AW183" s="23">
        <f>EXP(-LN(2)/2)*AW182+(1-EXP(-LN(2)/2))/(LN(2)/2)*AQ183*AT183*VLOOKUP('Données projet'!$B$10,Paramètres!$A$1:$I$89,3,0)*0.475*44/12</f>
        <v>1.1649315434459413E-22</v>
      </c>
      <c r="AX183" s="23">
        <f t="shared" si="166"/>
        <v>3.6112876170785575E-2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1.9895196601282805E-13</v>
      </c>
      <c r="BE183" s="14">
        <f>BD183*VLOOKUP('Données projet'!$B$11,Paramètres!$A$1:$I$89,3,0)*VLOOKUP('Données projet'!$B$11,Paramètres!$A$1:$I$89,5,0)</f>
        <v>1.3035332813160495E-13</v>
      </c>
      <c r="BF183" s="14">
        <f t="shared" si="167"/>
        <v>1.8987770485018903E-12</v>
      </c>
      <c r="BG183" s="22">
        <f t="shared" si="168"/>
        <v>3.5340687393033375E-12</v>
      </c>
      <c r="BH183" s="62">
        <f t="shared" si="116"/>
        <v>293.33333333333684</v>
      </c>
      <c r="BI183" s="62">
        <f ca="1">AVERAGE(OFFSET($BH$3,0,0,'Données projet'!$E$11+1,1))-AVERAGE(OFFSET($H$3,0,0,'Données projet'!$E$11+1,1))</f>
        <v>154.44480170404967</v>
      </c>
      <c r="BJ183" s="62">
        <f t="shared" si="146"/>
        <v>186.45728006007272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1.9895196601282805E-13</v>
      </c>
      <c r="BZ183" s="14">
        <f>BY183*VLOOKUP('Données projet'!$B$12,Paramètres!$A$1:$I$89,3,0)*VLOOKUP('Données projet'!$B$12,Paramètres!$A$1:$I$89,5,0)</f>
        <v>1.3035332813160495E-13</v>
      </c>
      <c r="CA183" s="14">
        <f t="shared" si="170"/>
        <v>1.8987770485018903E-12</v>
      </c>
      <c r="CB183" s="22">
        <f t="shared" si="171"/>
        <v>3.5340687393033375E-12</v>
      </c>
      <c r="CC183" s="62">
        <f t="shared" si="119"/>
        <v>293.33333333333684</v>
      </c>
      <c r="CD183" s="62">
        <f ca="1">AVERAGE(OFFSET($CC$3,0,0,'Données projet'!$E$12+1,1))-AVERAGE(OFFSET($H$3,0,0,'Données projet'!$E$12+1,1))</f>
        <v>154.44480170404967</v>
      </c>
      <c r="CE183" s="62">
        <f t="shared" si="148"/>
        <v>186.45728006007272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9">
        <f t="shared" si="110"/>
        <v>511.92663587965137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1.9508661353029313E-13</v>
      </c>
      <c r="P184" s="14">
        <f t="shared" si="141"/>
        <v>2.711421636700695E-12</v>
      </c>
      <c r="Q184" s="22">
        <f t="shared" si="162"/>
        <v>5.0621685358189711E-12</v>
      </c>
      <c r="R184" s="62">
        <f t="shared" si="109"/>
        <v>293.33333333333837</v>
      </c>
      <c r="S184" s="62">
        <f ca="1">AVERAGE(OFFSET($R$3,0,0,'Données projet'!$E$9+1,1))-AVERAGE(OFFSET($H$3,0,0,'Données projet'!$E$9+1,1))</f>
        <v>178.42783874015521</v>
      </c>
      <c r="T184" s="62">
        <f t="shared" si="142"/>
        <v>140.03904900962556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2.6998996234029602E-2</v>
      </c>
      <c r="AB184" s="23">
        <f>EXP(-LN(2)/2)*AB183+(1-EXP(-LN(2)/2))/(LN(2)/2)*V184*Y184*VLOOKUP('Données projet'!$B$9,Paramètres!$A$1:$I$89,3,0)*0.475*44/12</f>
        <v>1.2857103991209546E-23</v>
      </c>
      <c r="AC184" s="24">
        <f t="shared" si="163"/>
        <v>2.6998996234029602E-2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216.16876563248064</v>
      </c>
      <c r="AO184" s="62">
        <f t="shared" si="144"/>
        <v>137.55906339137317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3.5125367672801826E-2</v>
      </c>
      <c r="AW184" s="23">
        <f>EXP(-LN(2)/2)*AW183+(1-EXP(-LN(2)/2))/(LN(2)/2)*AQ184*AT184*VLOOKUP('Données projet'!$B$10,Paramètres!$A$1:$I$89,3,0)*0.475*44/12</f>
        <v>8.237309939887363E-23</v>
      </c>
      <c r="AX184" s="23">
        <f t="shared" si="166"/>
        <v>3.5125367672801826E-2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1.9895196601282805E-13</v>
      </c>
      <c r="BE184" s="14">
        <f>BD184*VLOOKUP('Données projet'!$B$11,Paramètres!$A$1:$I$89,3,0)*VLOOKUP('Données projet'!$B$11,Paramètres!$A$1:$I$89,5,0)</f>
        <v>1.3035332813160495E-13</v>
      </c>
      <c r="BF184" s="14">
        <f t="shared" si="167"/>
        <v>1.8987770485018903E-12</v>
      </c>
      <c r="BG184" s="22">
        <f t="shared" si="168"/>
        <v>3.5340687393033375E-12</v>
      </c>
      <c r="BH184" s="62">
        <f t="shared" si="116"/>
        <v>293.33333333333684</v>
      </c>
      <c r="BI184" s="62">
        <f ca="1">AVERAGE(OFFSET($BH$3,0,0,'Données projet'!$E$11+1,1))-AVERAGE(OFFSET($H$3,0,0,'Données projet'!$E$11+1,1))</f>
        <v>154.44480170404967</v>
      </c>
      <c r="BJ184" s="62">
        <f t="shared" si="146"/>
        <v>186.45728006007272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1.9895196601282805E-13</v>
      </c>
      <c r="BZ184" s="14">
        <f>BY184*VLOOKUP('Données projet'!$B$12,Paramètres!$A$1:$I$89,3,0)*VLOOKUP('Données projet'!$B$12,Paramètres!$A$1:$I$89,5,0)</f>
        <v>1.3035332813160495E-13</v>
      </c>
      <c r="CA184" s="14">
        <f t="shared" si="170"/>
        <v>1.8987770485018903E-12</v>
      </c>
      <c r="CB184" s="22">
        <f t="shared" si="171"/>
        <v>3.5340687393033375E-12</v>
      </c>
      <c r="CC184" s="62">
        <f t="shared" si="119"/>
        <v>293.33333333333684</v>
      </c>
      <c r="CD184" s="62">
        <f ca="1">AVERAGE(OFFSET($CC$3,0,0,'Données projet'!$E$12+1,1))-AVERAGE(OFFSET($H$3,0,0,'Données projet'!$E$12+1,1))</f>
        <v>154.44480170404967</v>
      </c>
      <c r="CE184" s="62">
        <f t="shared" si="148"/>
        <v>186.45728006007272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9">
        <f t="shared" si="110"/>
        <v>513.10437544201318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1.9508661353029313E-13</v>
      </c>
      <c r="P185" s="14">
        <f t="shared" si="141"/>
        <v>2.711421636700695E-12</v>
      </c>
      <c r="Q185" s="22">
        <f t="shared" si="162"/>
        <v>5.0621685358189711E-12</v>
      </c>
      <c r="R185" s="62">
        <f t="shared" si="109"/>
        <v>293.33333333333837</v>
      </c>
      <c r="S185" s="62">
        <f ca="1">AVERAGE(OFFSET($R$3,0,0,'Données projet'!$E$9+1,1))-AVERAGE(OFFSET($H$3,0,0,'Données projet'!$E$9+1,1))</f>
        <v>178.42783874015521</v>
      </c>
      <c r="T185" s="62">
        <f t="shared" si="142"/>
        <v>140.03904900962556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2.6260707262194559E-2</v>
      </c>
      <c r="AB185" s="23">
        <f>EXP(-LN(2)/2)*AB184+(1-EXP(-LN(2)/2))/(LN(2)/2)*V185*Y185*VLOOKUP('Données projet'!$B$9,Paramètres!$A$1:$I$89,3,0)*0.475*44/12</f>
        <v>9.0913454186048957E-24</v>
      </c>
      <c r="AC185" s="24">
        <f t="shared" si="163"/>
        <v>2.6260707262194559E-2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216.16876563248064</v>
      </c>
      <c r="AO185" s="62">
        <f t="shared" si="144"/>
        <v>137.55906339137317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3.4164862646626257E-2</v>
      </c>
      <c r="AW185" s="23">
        <f>EXP(-LN(2)/2)*AW184+(1-EXP(-LN(2)/2))/(LN(2)/2)*AQ185*AT185*VLOOKUP('Données projet'!$B$10,Paramètres!$A$1:$I$89,3,0)*0.475*44/12</f>
        <v>5.8246577172297064E-23</v>
      </c>
      <c r="AX185" s="23">
        <f t="shared" si="166"/>
        <v>3.4164862646626257E-2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1.9895196601282805E-13</v>
      </c>
      <c r="BE185" s="14">
        <f>BD185*VLOOKUP('Données projet'!$B$11,Paramètres!$A$1:$I$89,3,0)*VLOOKUP('Données projet'!$B$11,Paramètres!$A$1:$I$89,5,0)</f>
        <v>1.3035332813160495E-13</v>
      </c>
      <c r="BF185" s="14">
        <f t="shared" si="167"/>
        <v>1.8987770485018903E-12</v>
      </c>
      <c r="BG185" s="22">
        <f t="shared" si="168"/>
        <v>3.5340687393033375E-12</v>
      </c>
      <c r="BH185" s="62">
        <f t="shared" si="116"/>
        <v>293.33333333333684</v>
      </c>
      <c r="BI185" s="62">
        <f ca="1">AVERAGE(OFFSET($BH$3,0,0,'Données projet'!$E$11+1,1))-AVERAGE(OFFSET($H$3,0,0,'Données projet'!$E$11+1,1))</f>
        <v>154.44480170404967</v>
      </c>
      <c r="BJ185" s="62">
        <f t="shared" si="146"/>
        <v>186.45728006007272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1.9895196601282805E-13</v>
      </c>
      <c r="BZ185" s="14">
        <f>BY185*VLOOKUP('Données projet'!$B$12,Paramètres!$A$1:$I$89,3,0)*VLOOKUP('Données projet'!$B$12,Paramètres!$A$1:$I$89,5,0)</f>
        <v>1.3035332813160495E-13</v>
      </c>
      <c r="CA185" s="14">
        <f t="shared" si="170"/>
        <v>1.8987770485018903E-12</v>
      </c>
      <c r="CB185" s="22">
        <f t="shared" si="171"/>
        <v>3.5340687393033375E-12</v>
      </c>
      <c r="CC185" s="62">
        <f t="shared" si="119"/>
        <v>293.33333333333684</v>
      </c>
      <c r="CD185" s="62">
        <f ca="1">AVERAGE(OFFSET($CC$3,0,0,'Données projet'!$E$12+1,1))-AVERAGE(OFFSET($H$3,0,0,'Données projet'!$E$12+1,1))</f>
        <v>154.44480170404967</v>
      </c>
      <c r="CE185" s="62">
        <f t="shared" si="148"/>
        <v>186.45728006007272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9">
        <f t="shared" si="110"/>
        <v>514.28197000434375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1.9508661353029313E-13</v>
      </c>
      <c r="P186" s="14">
        <f t="shared" si="141"/>
        <v>2.711421636700695E-12</v>
      </c>
      <c r="Q186" s="22">
        <f t="shared" si="162"/>
        <v>5.0621685358189711E-12</v>
      </c>
      <c r="R186" s="62">
        <f t="shared" si="109"/>
        <v>293.33333333333837</v>
      </c>
      <c r="S186" s="62">
        <f ca="1">AVERAGE(OFFSET($R$3,0,0,'Données projet'!$E$9+1,1))-AVERAGE(OFFSET($H$3,0,0,'Données projet'!$E$9+1,1))</f>
        <v>178.42783874015521</v>
      </c>
      <c r="T186" s="62">
        <f t="shared" si="142"/>
        <v>140.03904900962556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2.5542606841119274E-2</v>
      </c>
      <c r="AB186" s="23">
        <f>EXP(-LN(2)/2)*AB185+(1-EXP(-LN(2)/2))/(LN(2)/2)*V186*Y186*VLOOKUP('Données projet'!$B$9,Paramètres!$A$1:$I$89,3,0)*0.475*44/12</f>
        <v>6.4285519956047736E-24</v>
      </c>
      <c r="AC186" s="24">
        <f t="shared" si="163"/>
        <v>2.5542606841119274E-2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216.16876563248064</v>
      </c>
      <c r="AO186" s="62">
        <f t="shared" si="144"/>
        <v>137.55906339137317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3.3230622680902218E-2</v>
      </c>
      <c r="AW186" s="23">
        <f>EXP(-LN(2)/2)*AW185+(1-EXP(-LN(2)/2))/(LN(2)/2)*AQ186*AT186*VLOOKUP('Données projet'!$B$10,Paramètres!$A$1:$I$89,3,0)*0.475*44/12</f>
        <v>4.1186549699436815E-23</v>
      </c>
      <c r="AX186" s="23">
        <f t="shared" si="166"/>
        <v>3.3230622680902218E-2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1.9895196601282805E-13</v>
      </c>
      <c r="BE186" s="14">
        <f>BD186*VLOOKUP('Données projet'!$B$11,Paramètres!$A$1:$I$89,3,0)*VLOOKUP('Données projet'!$B$11,Paramètres!$A$1:$I$89,5,0)</f>
        <v>1.3035332813160495E-13</v>
      </c>
      <c r="BF186" s="14">
        <f t="shared" si="167"/>
        <v>1.8987770485018903E-12</v>
      </c>
      <c r="BG186" s="22">
        <f t="shared" si="168"/>
        <v>3.5340687393033375E-12</v>
      </c>
      <c r="BH186" s="62">
        <f t="shared" si="116"/>
        <v>293.33333333333684</v>
      </c>
      <c r="BI186" s="62">
        <f ca="1">AVERAGE(OFFSET($BH$3,0,0,'Données projet'!$E$11+1,1))-AVERAGE(OFFSET($H$3,0,0,'Données projet'!$E$11+1,1))</f>
        <v>154.44480170404967</v>
      </c>
      <c r="BJ186" s="62">
        <f t="shared" si="146"/>
        <v>186.45728006007272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1.9895196601282805E-13</v>
      </c>
      <c r="BZ186" s="14">
        <f>BY186*VLOOKUP('Données projet'!$B$12,Paramètres!$A$1:$I$89,3,0)*VLOOKUP('Données projet'!$B$12,Paramètres!$A$1:$I$89,5,0)</f>
        <v>1.3035332813160495E-13</v>
      </c>
      <c r="CA186" s="14">
        <f t="shared" si="170"/>
        <v>1.8987770485018903E-12</v>
      </c>
      <c r="CB186" s="22">
        <f t="shared" si="171"/>
        <v>3.5340687393033375E-12</v>
      </c>
      <c r="CC186" s="62">
        <f t="shared" si="119"/>
        <v>293.33333333333684</v>
      </c>
      <c r="CD186" s="62">
        <f ca="1">AVERAGE(OFFSET($CC$3,0,0,'Données projet'!$E$12+1,1))-AVERAGE(OFFSET($H$3,0,0,'Données projet'!$E$12+1,1))</f>
        <v>154.44480170404967</v>
      </c>
      <c r="CE186" s="62">
        <f t="shared" si="148"/>
        <v>186.45728006007272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9">
        <f t="shared" si="110"/>
        <v>515.45942045095035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1.9508661353029313E-13</v>
      </c>
      <c r="P187" s="14">
        <f t="shared" si="141"/>
        <v>2.711421636700695E-12</v>
      </c>
      <c r="Q187" s="22">
        <f t="shared" si="162"/>
        <v>5.0621685358189711E-12</v>
      </c>
      <c r="R187" s="62">
        <f t="shared" si="109"/>
        <v>293.33333333333837</v>
      </c>
      <c r="S187" s="62">
        <f ca="1">AVERAGE(OFFSET($R$3,0,0,'Données projet'!$E$9+1,1))-AVERAGE(OFFSET($H$3,0,0,'Données projet'!$E$9+1,1))</f>
        <v>178.42783874015521</v>
      </c>
      <c r="T187" s="62">
        <f t="shared" si="142"/>
        <v>140.03904900962556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2.4844142913821553E-2</v>
      </c>
      <c r="AB187" s="23">
        <f>EXP(-LN(2)/2)*AB186+(1-EXP(-LN(2)/2))/(LN(2)/2)*V187*Y187*VLOOKUP('Données projet'!$B$9,Paramètres!$A$1:$I$89,3,0)*0.475*44/12</f>
        <v>4.5456727093024486E-24</v>
      </c>
      <c r="AC187" s="24">
        <f t="shared" si="163"/>
        <v>2.4844142913821553E-2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216.16876563248064</v>
      </c>
      <c r="AO187" s="62">
        <f t="shared" si="144"/>
        <v>137.55906339137317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3.2321929556170449E-2</v>
      </c>
      <c r="AW187" s="23">
        <f>EXP(-LN(2)/2)*AW186+(1-EXP(-LN(2)/2))/(LN(2)/2)*AQ187*AT187*VLOOKUP('Données projet'!$B$10,Paramètres!$A$1:$I$89,3,0)*0.475*44/12</f>
        <v>2.9123288586148532E-23</v>
      </c>
      <c r="AX187" s="23">
        <f t="shared" si="166"/>
        <v>3.2321929556170449E-2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1.9895196601282805E-13</v>
      </c>
      <c r="BE187" s="14">
        <f>BD187*VLOOKUP('Données projet'!$B$11,Paramètres!$A$1:$I$89,3,0)*VLOOKUP('Données projet'!$B$11,Paramètres!$A$1:$I$89,5,0)</f>
        <v>1.3035332813160495E-13</v>
      </c>
      <c r="BF187" s="14">
        <f t="shared" si="167"/>
        <v>1.8987770485018903E-12</v>
      </c>
      <c r="BG187" s="22">
        <f t="shared" si="168"/>
        <v>3.5340687393033375E-12</v>
      </c>
      <c r="BH187" s="62">
        <f t="shared" si="116"/>
        <v>293.33333333333684</v>
      </c>
      <c r="BI187" s="62">
        <f ca="1">AVERAGE(OFFSET($BH$3,0,0,'Données projet'!$E$11+1,1))-AVERAGE(OFFSET($H$3,0,0,'Données projet'!$E$11+1,1))</f>
        <v>154.44480170404967</v>
      </c>
      <c r="BJ187" s="62">
        <f t="shared" si="146"/>
        <v>186.45728006007272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1.9895196601282805E-13</v>
      </c>
      <c r="BZ187" s="14">
        <f>BY187*VLOOKUP('Données projet'!$B$12,Paramètres!$A$1:$I$89,3,0)*VLOOKUP('Données projet'!$B$12,Paramètres!$A$1:$I$89,5,0)</f>
        <v>1.3035332813160495E-13</v>
      </c>
      <c r="CA187" s="14">
        <f t="shared" si="170"/>
        <v>1.8987770485018903E-12</v>
      </c>
      <c r="CB187" s="22">
        <f t="shared" si="171"/>
        <v>3.5340687393033375E-12</v>
      </c>
      <c r="CC187" s="62">
        <f t="shared" si="119"/>
        <v>293.33333333333684</v>
      </c>
      <c r="CD187" s="62">
        <f ca="1">AVERAGE(OFFSET($CC$3,0,0,'Données projet'!$E$12+1,1))-AVERAGE(OFFSET($H$3,0,0,'Données projet'!$E$12+1,1))</f>
        <v>154.44480170404967</v>
      </c>
      <c r="CE187" s="62">
        <f t="shared" si="148"/>
        <v>186.45728006007272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9">
        <f t="shared" si="110"/>
        <v>516.63672765597119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1.9508661353029313E-13</v>
      </c>
      <c r="P188" s="14">
        <f t="shared" si="141"/>
        <v>2.711421636700695E-12</v>
      </c>
      <c r="Q188" s="22">
        <f t="shared" si="162"/>
        <v>5.0621685358189711E-12</v>
      </c>
      <c r="R188" s="62">
        <f t="shared" si="109"/>
        <v>293.33333333333837</v>
      </c>
      <c r="S188" s="62">
        <f ca="1">AVERAGE(OFFSET($R$3,0,0,'Données projet'!$E$9+1,1))-AVERAGE(OFFSET($H$3,0,0,'Données projet'!$E$9+1,1))</f>
        <v>178.42783874015521</v>
      </c>
      <c r="T188" s="62">
        <f t="shared" si="142"/>
        <v>140.03904900962556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2.4164778519346407E-2</v>
      </c>
      <c r="AB188" s="23">
        <f>EXP(-LN(2)/2)*AB187+(1-EXP(-LN(2)/2))/(LN(2)/2)*V188*Y188*VLOOKUP('Données projet'!$B$9,Paramètres!$A$1:$I$89,3,0)*0.475*44/12</f>
        <v>3.2142759978023875E-24</v>
      </c>
      <c r="AC188" s="24">
        <f t="shared" si="163"/>
        <v>2.4164778519346407E-2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216.16876563248064</v>
      </c>
      <c r="AO188" s="62">
        <f t="shared" si="144"/>
        <v>137.55906339137317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3.1438084692720566E-2</v>
      </c>
      <c r="AW188" s="23">
        <f>EXP(-LN(2)/2)*AW187+(1-EXP(-LN(2)/2))/(LN(2)/2)*AQ188*AT188*VLOOKUP('Données projet'!$B$10,Paramètres!$A$1:$I$89,3,0)*0.475*44/12</f>
        <v>2.0593274849718407E-23</v>
      </c>
      <c r="AX188" s="23">
        <f t="shared" si="166"/>
        <v>3.1438084692720566E-2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1.9895196601282805E-13</v>
      </c>
      <c r="BE188" s="14">
        <f>BD188*VLOOKUP('Données projet'!$B$11,Paramètres!$A$1:$I$89,3,0)*VLOOKUP('Données projet'!$B$11,Paramètres!$A$1:$I$89,5,0)</f>
        <v>1.3035332813160495E-13</v>
      </c>
      <c r="BF188" s="14">
        <f t="shared" si="167"/>
        <v>1.8987770485018903E-12</v>
      </c>
      <c r="BG188" s="22">
        <f t="shared" si="168"/>
        <v>3.5340687393033375E-12</v>
      </c>
      <c r="BH188" s="62">
        <f t="shared" si="116"/>
        <v>293.33333333333684</v>
      </c>
      <c r="BI188" s="62">
        <f ca="1">AVERAGE(OFFSET($BH$3,0,0,'Données projet'!$E$11+1,1))-AVERAGE(OFFSET($H$3,0,0,'Données projet'!$E$11+1,1))</f>
        <v>154.44480170404967</v>
      </c>
      <c r="BJ188" s="62">
        <f t="shared" si="146"/>
        <v>186.45728006007272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1.9895196601282805E-13</v>
      </c>
      <c r="BZ188" s="14">
        <f>BY188*VLOOKUP('Données projet'!$B$12,Paramètres!$A$1:$I$89,3,0)*VLOOKUP('Données projet'!$B$12,Paramètres!$A$1:$I$89,5,0)</f>
        <v>1.3035332813160495E-13</v>
      </c>
      <c r="CA188" s="14">
        <f t="shared" si="170"/>
        <v>1.8987770485018903E-12</v>
      </c>
      <c r="CB188" s="22">
        <f t="shared" si="171"/>
        <v>3.5340687393033375E-12</v>
      </c>
      <c r="CC188" s="62">
        <f t="shared" si="119"/>
        <v>293.33333333333684</v>
      </c>
      <c r="CD188" s="62">
        <f ca="1">AVERAGE(OFFSET($CC$3,0,0,'Données projet'!$E$12+1,1))-AVERAGE(OFFSET($H$3,0,0,'Données projet'!$E$12+1,1))</f>
        <v>154.44480170404967</v>
      </c>
      <c r="CE188" s="62">
        <f t="shared" si="148"/>
        <v>186.45728006007272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9">
        <f t="shared" si="110"/>
        <v>517.81389248354799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1.9508661353029313E-13</v>
      </c>
      <c r="P189" s="14">
        <f t="shared" si="141"/>
        <v>2.711421636700695E-12</v>
      </c>
      <c r="Q189" s="22">
        <f t="shared" si="162"/>
        <v>5.0621685358189711E-12</v>
      </c>
      <c r="R189" s="62">
        <f t="shared" si="109"/>
        <v>293.33333333333837</v>
      </c>
      <c r="S189" s="62">
        <f ca="1">AVERAGE(OFFSET($R$3,0,0,'Données projet'!$E$9+1,1))-AVERAGE(OFFSET($H$3,0,0,'Données projet'!$E$9+1,1))</f>
        <v>178.42783874015521</v>
      </c>
      <c r="T189" s="62">
        <f t="shared" si="142"/>
        <v>140.03904900962556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2.3503991379964406E-2</v>
      </c>
      <c r="AB189" s="23">
        <f>EXP(-LN(2)/2)*AB188+(1-EXP(-LN(2)/2))/(LN(2)/2)*V189*Y189*VLOOKUP('Données projet'!$B$9,Paramètres!$A$1:$I$89,3,0)*0.475*44/12</f>
        <v>2.2728363546512247E-24</v>
      </c>
      <c r="AC189" s="24">
        <f t="shared" si="163"/>
        <v>2.3503991379964406E-2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216.16876563248064</v>
      </c>
      <c r="AO189" s="62">
        <f t="shared" si="144"/>
        <v>137.55906339137317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3.0578408613541101E-2</v>
      </c>
      <c r="AW189" s="23">
        <f>EXP(-LN(2)/2)*AW188+(1-EXP(-LN(2)/2))/(LN(2)/2)*AQ189*AT189*VLOOKUP('Données projet'!$B$10,Paramètres!$A$1:$I$89,3,0)*0.475*44/12</f>
        <v>1.4561644293074266E-23</v>
      </c>
      <c r="AX189" s="23">
        <f t="shared" si="166"/>
        <v>3.0578408613541101E-2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1.9895196601282805E-13</v>
      </c>
      <c r="BE189" s="14">
        <f>BD189*VLOOKUP('Données projet'!$B$11,Paramètres!$A$1:$I$89,3,0)*VLOOKUP('Données projet'!$B$11,Paramètres!$A$1:$I$89,5,0)</f>
        <v>1.3035332813160495E-13</v>
      </c>
      <c r="BF189" s="14">
        <f t="shared" si="167"/>
        <v>1.8987770485018903E-12</v>
      </c>
      <c r="BG189" s="22">
        <f t="shared" si="168"/>
        <v>3.5340687393033375E-12</v>
      </c>
      <c r="BH189" s="62">
        <f t="shared" si="116"/>
        <v>293.33333333333684</v>
      </c>
      <c r="BI189" s="62">
        <f ca="1">AVERAGE(OFFSET($BH$3,0,0,'Données projet'!$E$11+1,1))-AVERAGE(OFFSET($H$3,0,0,'Données projet'!$E$11+1,1))</f>
        <v>154.44480170404967</v>
      </c>
      <c r="BJ189" s="62">
        <f t="shared" si="146"/>
        <v>186.45728006007272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1.9895196601282805E-13</v>
      </c>
      <c r="BZ189" s="14">
        <f>BY189*VLOOKUP('Données projet'!$B$12,Paramètres!$A$1:$I$89,3,0)*VLOOKUP('Données projet'!$B$12,Paramètres!$A$1:$I$89,5,0)</f>
        <v>1.3035332813160495E-13</v>
      </c>
      <c r="CA189" s="14">
        <f t="shared" si="170"/>
        <v>1.8987770485018903E-12</v>
      </c>
      <c r="CB189" s="22">
        <f t="shared" si="171"/>
        <v>3.5340687393033375E-12</v>
      </c>
      <c r="CC189" s="62">
        <f t="shared" si="119"/>
        <v>293.33333333333684</v>
      </c>
      <c r="CD189" s="62">
        <f ca="1">AVERAGE(OFFSET($CC$3,0,0,'Données projet'!$E$12+1,1))-AVERAGE(OFFSET($H$3,0,0,'Données projet'!$E$12+1,1))</f>
        <v>154.44480170404967</v>
      </c>
      <c r="CE189" s="62">
        <f t="shared" si="148"/>
        <v>186.45728006007272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9">
        <f t="shared" si="110"/>
        <v>518.99091578799244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1.9508661353029313E-13</v>
      </c>
      <c r="P190" s="14">
        <f t="shared" si="141"/>
        <v>2.711421636700695E-12</v>
      </c>
      <c r="Q190" s="22">
        <f t="shared" si="162"/>
        <v>5.0621685358189711E-12</v>
      </c>
      <c r="R190" s="62">
        <f t="shared" si="109"/>
        <v>293.33333333333837</v>
      </c>
      <c r="S190" s="62">
        <f ca="1">AVERAGE(OFFSET($R$3,0,0,'Données projet'!$E$9+1,1))-AVERAGE(OFFSET($H$3,0,0,'Données projet'!$E$9+1,1))</f>
        <v>178.42783874015521</v>
      </c>
      <c r="T190" s="62">
        <f t="shared" si="142"/>
        <v>140.03904900962556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2.2861273499658091E-2</v>
      </c>
      <c r="AB190" s="23">
        <f>EXP(-LN(2)/2)*AB189+(1-EXP(-LN(2)/2))/(LN(2)/2)*V190*Y190*VLOOKUP('Données projet'!$B$9,Paramètres!$A$1:$I$89,3,0)*0.475*44/12</f>
        <v>1.6071379989011939E-24</v>
      </c>
      <c r="AC190" s="24">
        <f t="shared" si="163"/>
        <v>2.2861273499658091E-2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216.16876563248064</v>
      </c>
      <c r="AO190" s="62">
        <f t="shared" si="144"/>
        <v>137.55906339137317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2.97422404219552E-2</v>
      </c>
      <c r="AW190" s="23">
        <f>EXP(-LN(2)/2)*AW189+(1-EXP(-LN(2)/2))/(LN(2)/2)*AQ190*AT190*VLOOKUP('Données projet'!$B$10,Paramètres!$A$1:$I$89,3,0)*0.475*44/12</f>
        <v>1.0296637424859204E-23</v>
      </c>
      <c r="AX190" s="23">
        <f t="shared" si="166"/>
        <v>2.97422404219552E-2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1.9895196601282805E-13</v>
      </c>
      <c r="BE190" s="14">
        <f>BD190*VLOOKUP('Données projet'!$B$11,Paramètres!$A$1:$I$89,3,0)*VLOOKUP('Données projet'!$B$11,Paramètres!$A$1:$I$89,5,0)</f>
        <v>1.3035332813160495E-13</v>
      </c>
      <c r="BF190" s="14">
        <f t="shared" si="167"/>
        <v>1.8987770485018903E-12</v>
      </c>
      <c r="BG190" s="22">
        <f t="shared" si="168"/>
        <v>3.5340687393033375E-12</v>
      </c>
      <c r="BH190" s="62">
        <f t="shared" si="116"/>
        <v>293.33333333333684</v>
      </c>
      <c r="BI190" s="62">
        <f ca="1">AVERAGE(OFFSET($BH$3,0,0,'Données projet'!$E$11+1,1))-AVERAGE(OFFSET($H$3,0,0,'Données projet'!$E$11+1,1))</f>
        <v>154.44480170404967</v>
      </c>
      <c r="BJ190" s="62">
        <f t="shared" si="146"/>
        <v>186.45728006007272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1.9895196601282805E-13</v>
      </c>
      <c r="BZ190" s="14">
        <f>BY190*VLOOKUP('Données projet'!$B$12,Paramètres!$A$1:$I$89,3,0)*VLOOKUP('Données projet'!$B$12,Paramètres!$A$1:$I$89,5,0)</f>
        <v>1.3035332813160495E-13</v>
      </c>
      <c r="CA190" s="14">
        <f t="shared" si="170"/>
        <v>1.8987770485018903E-12</v>
      </c>
      <c r="CB190" s="22">
        <f t="shared" si="171"/>
        <v>3.5340687393033375E-12</v>
      </c>
      <c r="CC190" s="62">
        <f t="shared" si="119"/>
        <v>293.33333333333684</v>
      </c>
      <c r="CD190" s="62">
        <f ca="1">AVERAGE(OFFSET($CC$3,0,0,'Données projet'!$E$12+1,1))-AVERAGE(OFFSET($H$3,0,0,'Données projet'!$E$12+1,1))</f>
        <v>154.44480170404967</v>
      </c>
      <c r="CE190" s="62">
        <f t="shared" si="148"/>
        <v>186.45728006007272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9">
        <f t="shared" si="110"/>
        <v>520.16779841395021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1.9508661353029313E-13</v>
      </c>
      <c r="P191" s="14">
        <f t="shared" si="141"/>
        <v>2.711421636700695E-12</v>
      </c>
      <c r="Q191" s="22">
        <f t="shared" si="162"/>
        <v>5.0621685358189711E-12</v>
      </c>
      <c r="R191" s="62">
        <f t="shared" si="109"/>
        <v>293.33333333333837</v>
      </c>
      <c r="S191" s="62">
        <f ca="1">AVERAGE(OFFSET($R$3,0,0,'Données projet'!$E$9+1,1))-AVERAGE(OFFSET($H$3,0,0,'Données projet'!$E$9+1,1))</f>
        <v>178.42783874015521</v>
      </c>
      <c r="T191" s="62">
        <f t="shared" si="142"/>
        <v>140.03904900962556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2.2236130773587819E-2</v>
      </c>
      <c r="AB191" s="23">
        <f>EXP(-LN(2)/2)*AB190+(1-EXP(-LN(2)/2))/(LN(2)/2)*V191*Y191*VLOOKUP('Données projet'!$B$9,Paramètres!$A$1:$I$89,3,0)*0.475*44/12</f>
        <v>1.1364181773256125E-24</v>
      </c>
      <c r="AC191" s="24">
        <f t="shared" si="163"/>
        <v>2.2236130773587819E-2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216.16876563248064</v>
      </c>
      <c r="AO191" s="62">
        <f t="shared" si="144"/>
        <v>137.55906339137317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2.8928937293540388E-2</v>
      </c>
      <c r="AW191" s="23">
        <f>EXP(-LN(2)/2)*AW190+(1-EXP(-LN(2)/2))/(LN(2)/2)*AQ191*AT191*VLOOKUP('Données projet'!$B$10,Paramètres!$A$1:$I$89,3,0)*0.475*44/12</f>
        <v>7.280822146537133E-24</v>
      </c>
      <c r="AX191" s="23">
        <f t="shared" si="166"/>
        <v>2.8928937293540388E-2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1.9895196601282805E-13</v>
      </c>
      <c r="BE191" s="14">
        <f>BD191*VLOOKUP('Données projet'!$B$11,Paramètres!$A$1:$I$89,3,0)*VLOOKUP('Données projet'!$B$11,Paramètres!$A$1:$I$89,5,0)</f>
        <v>1.3035332813160495E-13</v>
      </c>
      <c r="BF191" s="14">
        <f t="shared" si="167"/>
        <v>1.8987770485018903E-12</v>
      </c>
      <c r="BG191" s="22">
        <f t="shared" si="168"/>
        <v>3.5340687393033375E-12</v>
      </c>
      <c r="BH191" s="62">
        <f t="shared" si="116"/>
        <v>293.33333333333684</v>
      </c>
      <c r="BI191" s="62">
        <f ca="1">AVERAGE(OFFSET($BH$3,0,0,'Données projet'!$E$11+1,1))-AVERAGE(OFFSET($H$3,0,0,'Données projet'!$E$11+1,1))</f>
        <v>154.44480170404967</v>
      </c>
      <c r="BJ191" s="62">
        <f t="shared" si="146"/>
        <v>186.45728006007272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1.9895196601282805E-13</v>
      </c>
      <c r="BZ191" s="14">
        <f>BY191*VLOOKUP('Données projet'!$B$12,Paramètres!$A$1:$I$89,3,0)*VLOOKUP('Données projet'!$B$12,Paramètres!$A$1:$I$89,5,0)</f>
        <v>1.3035332813160495E-13</v>
      </c>
      <c r="CA191" s="14">
        <f t="shared" si="170"/>
        <v>1.8987770485018903E-12</v>
      </c>
      <c r="CB191" s="22">
        <f t="shared" si="171"/>
        <v>3.5340687393033375E-12</v>
      </c>
      <c r="CC191" s="62">
        <f t="shared" si="119"/>
        <v>293.33333333333684</v>
      </c>
      <c r="CD191" s="62">
        <f ca="1">AVERAGE(OFFSET($CC$3,0,0,'Données projet'!$E$12+1,1))-AVERAGE(OFFSET($H$3,0,0,'Données projet'!$E$12+1,1))</f>
        <v>154.44480170404967</v>
      </c>
      <c r="CE191" s="62">
        <f t="shared" si="148"/>
        <v>186.45728006007272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9">
        <f t="shared" si="110"/>
        <v>521.34454119656175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1.9508661353029313E-13</v>
      </c>
      <c r="P192" s="14">
        <f t="shared" si="141"/>
        <v>2.711421636700695E-12</v>
      </c>
      <c r="Q192" s="22">
        <f t="shared" si="162"/>
        <v>5.0621685358189711E-12</v>
      </c>
      <c r="R192" s="62">
        <f t="shared" si="109"/>
        <v>293.33333333333837</v>
      </c>
      <c r="S192" s="62">
        <f ca="1">AVERAGE(OFFSET($R$3,0,0,'Données projet'!$E$9+1,1))-AVERAGE(OFFSET($H$3,0,0,'Données projet'!$E$9+1,1))</f>
        <v>178.42783874015521</v>
      </c>
      <c r="T192" s="62">
        <f t="shared" si="142"/>
        <v>140.03904900962556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2.1628082608236763E-2</v>
      </c>
      <c r="AB192" s="23">
        <f>EXP(-LN(2)/2)*AB191+(1-EXP(-LN(2)/2))/(LN(2)/2)*V192*Y192*VLOOKUP('Données projet'!$B$9,Paramètres!$A$1:$I$89,3,0)*0.475*44/12</f>
        <v>8.0356899945059706E-25</v>
      </c>
      <c r="AC192" s="24">
        <f t="shared" si="163"/>
        <v>2.1628082608236763E-2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216.16876563248064</v>
      </c>
      <c r="AO192" s="62">
        <f t="shared" si="144"/>
        <v>137.55906339137317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2.8137873981941831E-2</v>
      </c>
      <c r="AW192" s="23">
        <f>EXP(-LN(2)/2)*AW191+(1-EXP(-LN(2)/2))/(LN(2)/2)*AQ192*AT192*VLOOKUP('Données projet'!$B$10,Paramètres!$A$1:$I$89,3,0)*0.475*44/12</f>
        <v>5.1483187124296018E-24</v>
      </c>
      <c r="AX192" s="23">
        <f t="shared" si="166"/>
        <v>2.8137873981941831E-2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1.9895196601282805E-13</v>
      </c>
      <c r="BE192" s="14">
        <f>BD192*VLOOKUP('Données projet'!$B$11,Paramètres!$A$1:$I$89,3,0)*VLOOKUP('Données projet'!$B$11,Paramètres!$A$1:$I$89,5,0)</f>
        <v>1.3035332813160495E-13</v>
      </c>
      <c r="BF192" s="14">
        <f t="shared" si="167"/>
        <v>1.8987770485018903E-12</v>
      </c>
      <c r="BG192" s="22">
        <f t="shared" si="168"/>
        <v>3.5340687393033375E-12</v>
      </c>
      <c r="BH192" s="62">
        <f t="shared" si="116"/>
        <v>293.33333333333684</v>
      </c>
      <c r="BI192" s="62">
        <f ca="1">AVERAGE(OFFSET($BH$3,0,0,'Données projet'!$E$11+1,1))-AVERAGE(OFFSET($H$3,0,0,'Données projet'!$E$11+1,1))</f>
        <v>154.44480170404967</v>
      </c>
      <c r="BJ192" s="62">
        <f t="shared" si="146"/>
        <v>186.45728006007272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1.9895196601282805E-13</v>
      </c>
      <c r="BZ192" s="14">
        <f>BY192*VLOOKUP('Données projet'!$B$12,Paramètres!$A$1:$I$89,3,0)*VLOOKUP('Données projet'!$B$12,Paramètres!$A$1:$I$89,5,0)</f>
        <v>1.3035332813160495E-13</v>
      </c>
      <c r="CA192" s="14">
        <f t="shared" si="170"/>
        <v>1.8987770485018903E-12</v>
      </c>
      <c r="CB192" s="22">
        <f t="shared" si="171"/>
        <v>3.5340687393033375E-12</v>
      </c>
      <c r="CC192" s="62">
        <f t="shared" si="119"/>
        <v>293.33333333333684</v>
      </c>
      <c r="CD192" s="62">
        <f ca="1">AVERAGE(OFFSET($CC$3,0,0,'Données projet'!$E$12+1,1))-AVERAGE(OFFSET($H$3,0,0,'Données projet'!$E$12+1,1))</f>
        <v>154.44480170404967</v>
      </c>
      <c r="CE192" s="62">
        <f t="shared" si="148"/>
        <v>186.45728006007272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9">
        <f t="shared" si="110"/>
        <v>522.52114496161767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1.9508661353029313E-13</v>
      </c>
      <c r="P193" s="14">
        <f t="shared" si="141"/>
        <v>2.711421636700695E-12</v>
      </c>
      <c r="Q193" s="22">
        <f t="shared" si="162"/>
        <v>5.0621685358189711E-12</v>
      </c>
      <c r="R193" s="62">
        <f t="shared" si="109"/>
        <v>293.33333333333837</v>
      </c>
      <c r="S193" s="62">
        <f ca="1">AVERAGE(OFFSET($R$3,0,0,'Données projet'!$E$9+1,1))-AVERAGE(OFFSET($H$3,0,0,'Données projet'!$E$9+1,1))</f>
        <v>178.42783874015521</v>
      </c>
      <c r="T193" s="62">
        <f t="shared" si="142"/>
        <v>140.03904900962556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2.1036661551943097E-2</v>
      </c>
      <c r="AB193" s="23">
        <f>EXP(-LN(2)/2)*AB192+(1-EXP(-LN(2)/2))/(LN(2)/2)*V193*Y193*VLOOKUP('Données projet'!$B$9,Paramètres!$A$1:$I$89,3,0)*0.475*44/12</f>
        <v>5.6820908866280635E-25</v>
      </c>
      <c r="AC193" s="24">
        <f t="shared" si="163"/>
        <v>2.1036661551943097E-2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216.16876563248064</v>
      </c>
      <c r="AO193" s="62">
        <f t="shared" si="144"/>
        <v>137.55906339137317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2.7368442338199149E-2</v>
      </c>
      <c r="AW193" s="23">
        <f>EXP(-LN(2)/2)*AW192+(1-EXP(-LN(2)/2))/(LN(2)/2)*AQ193*AT193*VLOOKUP('Données projet'!$B$10,Paramètres!$A$1:$I$89,3,0)*0.475*44/12</f>
        <v>3.6404110732685665E-24</v>
      </c>
      <c r="AX193" s="23">
        <f t="shared" si="166"/>
        <v>2.7368442338199149E-2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1.9895196601282805E-13</v>
      </c>
      <c r="BE193" s="14">
        <f>BD193*VLOOKUP('Données projet'!$B$11,Paramètres!$A$1:$I$89,3,0)*VLOOKUP('Données projet'!$B$11,Paramètres!$A$1:$I$89,5,0)</f>
        <v>1.3035332813160495E-13</v>
      </c>
      <c r="BF193" s="14">
        <f t="shared" si="167"/>
        <v>1.8987770485018903E-12</v>
      </c>
      <c r="BG193" s="22">
        <f t="shared" si="168"/>
        <v>3.5340687393033375E-12</v>
      </c>
      <c r="BH193" s="62">
        <f t="shared" si="116"/>
        <v>293.33333333333684</v>
      </c>
      <c r="BI193" s="62">
        <f ca="1">AVERAGE(OFFSET($BH$3,0,0,'Données projet'!$E$11+1,1))-AVERAGE(OFFSET($H$3,0,0,'Données projet'!$E$11+1,1))</f>
        <v>154.44480170404967</v>
      </c>
      <c r="BJ193" s="62">
        <f t="shared" si="146"/>
        <v>186.45728006007272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1.9895196601282805E-13</v>
      </c>
      <c r="BZ193" s="14">
        <f>BY193*VLOOKUP('Données projet'!$B$12,Paramètres!$A$1:$I$89,3,0)*VLOOKUP('Données projet'!$B$12,Paramètres!$A$1:$I$89,5,0)</f>
        <v>1.3035332813160495E-13</v>
      </c>
      <c r="CA193" s="14">
        <f t="shared" si="170"/>
        <v>1.8987770485018903E-12</v>
      </c>
      <c r="CB193" s="22">
        <f t="shared" si="171"/>
        <v>3.5340687393033375E-12</v>
      </c>
      <c r="CC193" s="62">
        <f t="shared" si="119"/>
        <v>293.33333333333684</v>
      </c>
      <c r="CD193" s="62">
        <f ca="1">AVERAGE(OFFSET($CC$3,0,0,'Données projet'!$E$12+1,1))-AVERAGE(OFFSET($H$3,0,0,'Données projet'!$E$12+1,1))</f>
        <v>154.44480170404967</v>
      </c>
      <c r="CE193" s="62">
        <f t="shared" si="148"/>
        <v>186.45728006007272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9">
        <f t="shared" si="110"/>
        <v>523.69761052571369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1.9508661353029313E-13</v>
      </c>
      <c r="P194" s="14">
        <f t="shared" si="141"/>
        <v>2.711421636700695E-12</v>
      </c>
      <c r="Q194" s="22">
        <f t="shared" si="162"/>
        <v>5.0621685358189711E-12</v>
      </c>
      <c r="R194" s="62">
        <f t="shared" si="109"/>
        <v>293.33333333333837</v>
      </c>
      <c r="S194" s="62">
        <f ca="1">AVERAGE(OFFSET($R$3,0,0,'Données projet'!$E$9+1,1))-AVERAGE(OFFSET($H$3,0,0,'Données projet'!$E$9+1,1))</f>
        <v>178.42783874015521</v>
      </c>
      <c r="T194" s="62">
        <f t="shared" si="142"/>
        <v>140.03904900962556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2.0461412935535262E-2</v>
      </c>
      <c r="AB194" s="23">
        <f>EXP(-LN(2)/2)*AB193+(1-EXP(-LN(2)/2))/(LN(2)/2)*V194*Y194*VLOOKUP('Données projet'!$B$9,Paramètres!$A$1:$I$89,3,0)*0.475*44/12</f>
        <v>4.0178449972529862E-25</v>
      </c>
      <c r="AC194" s="24">
        <f t="shared" si="163"/>
        <v>2.0461412935535262E-2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216.16876563248064</v>
      </c>
      <c r="AO194" s="62">
        <f t="shared" si="144"/>
        <v>137.55906339137317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2.6620050843217263E-2</v>
      </c>
      <c r="AW194" s="23">
        <f>EXP(-LN(2)/2)*AW193+(1-EXP(-LN(2)/2))/(LN(2)/2)*AQ194*AT194*VLOOKUP('Données projet'!$B$10,Paramètres!$A$1:$I$89,3,0)*0.475*44/12</f>
        <v>2.5741593562148009E-24</v>
      </c>
      <c r="AX194" s="23">
        <f t="shared" si="166"/>
        <v>2.6620050843217263E-2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1.9895196601282805E-13</v>
      </c>
      <c r="BE194" s="14">
        <f>BD194*VLOOKUP('Données projet'!$B$11,Paramètres!$A$1:$I$89,3,0)*VLOOKUP('Données projet'!$B$11,Paramètres!$A$1:$I$89,5,0)</f>
        <v>1.3035332813160495E-13</v>
      </c>
      <c r="BF194" s="14">
        <f t="shared" si="167"/>
        <v>1.8987770485018903E-12</v>
      </c>
      <c r="BG194" s="22">
        <f t="shared" si="168"/>
        <v>3.5340687393033375E-12</v>
      </c>
      <c r="BH194" s="62">
        <f t="shared" si="116"/>
        <v>293.33333333333684</v>
      </c>
      <c r="BI194" s="62">
        <f ca="1">AVERAGE(OFFSET($BH$3,0,0,'Données projet'!$E$11+1,1))-AVERAGE(OFFSET($H$3,0,0,'Données projet'!$E$11+1,1))</f>
        <v>154.44480170404967</v>
      </c>
      <c r="BJ194" s="62">
        <f t="shared" si="146"/>
        <v>186.45728006007272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1.9895196601282805E-13</v>
      </c>
      <c r="BZ194" s="14">
        <f>BY194*VLOOKUP('Données projet'!$B$12,Paramètres!$A$1:$I$89,3,0)*VLOOKUP('Données projet'!$B$12,Paramètres!$A$1:$I$89,5,0)</f>
        <v>1.3035332813160495E-13</v>
      </c>
      <c r="CA194" s="14">
        <f t="shared" si="170"/>
        <v>1.8987770485018903E-12</v>
      </c>
      <c r="CB194" s="22">
        <f t="shared" si="171"/>
        <v>3.5340687393033375E-12</v>
      </c>
      <c r="CC194" s="62">
        <f t="shared" si="119"/>
        <v>293.33333333333684</v>
      </c>
      <c r="CD194" s="62">
        <f ca="1">AVERAGE(OFFSET($CC$3,0,0,'Données projet'!$E$12+1,1))-AVERAGE(OFFSET($H$3,0,0,'Données projet'!$E$12+1,1))</f>
        <v>154.44480170404967</v>
      </c>
      <c r="CE194" s="62">
        <f t="shared" si="148"/>
        <v>186.45728006007272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9">
        <f t="shared" si="110"/>
        <v>524.87393869639902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1.9508661353029313E-13</v>
      </c>
      <c r="P195" s="14">
        <f t="shared" si="141"/>
        <v>2.711421636700695E-12</v>
      </c>
      <c r="Q195" s="22">
        <f t="shared" si="162"/>
        <v>5.0621685358189711E-12</v>
      </c>
      <c r="R195" s="62">
        <f t="shared" ref="R195:R203" si="191">Q195+(I195+J195)*44/12</f>
        <v>293.33333333333837</v>
      </c>
      <c r="S195" s="62">
        <f ca="1">AVERAGE(OFFSET($R$3,0,0,'Données projet'!$E$9+1,1))-AVERAGE(OFFSET($H$3,0,0,'Données projet'!$E$9+1,1))</f>
        <v>178.42783874015521</v>
      </c>
      <c r="T195" s="62">
        <f t="shared" si="142"/>
        <v>140.03904900962556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1.990189452279411E-2</v>
      </c>
      <c r="AB195" s="23">
        <f>EXP(-LN(2)/2)*AB194+(1-EXP(-LN(2)/2))/(LN(2)/2)*V195*Y195*VLOOKUP('Données projet'!$B$9,Paramètres!$A$1:$I$89,3,0)*0.475*44/12</f>
        <v>2.8410454433140322E-25</v>
      </c>
      <c r="AC195" s="24">
        <f t="shared" si="163"/>
        <v>1.990189452279411E-2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216.16876563248064</v>
      </c>
      <c r="AO195" s="62">
        <f t="shared" si="144"/>
        <v>137.55906339137317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2.5892124153021855E-2</v>
      </c>
      <c r="AW195" s="23">
        <f>EXP(-LN(2)/2)*AW194+(1-EXP(-LN(2)/2))/(LN(2)/2)*AQ195*AT195*VLOOKUP('Données projet'!$B$10,Paramètres!$A$1:$I$89,3,0)*0.475*44/12</f>
        <v>1.8202055366342833E-24</v>
      </c>
      <c r="AX195" s="23">
        <f t="shared" si="166"/>
        <v>2.5892124153021855E-2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1.9895196601282805E-13</v>
      </c>
      <c r="BE195" s="14">
        <f>BD195*VLOOKUP('Données projet'!$B$11,Paramètres!$A$1:$I$89,3,0)*VLOOKUP('Données projet'!$B$11,Paramètres!$A$1:$I$89,5,0)</f>
        <v>1.3035332813160495E-13</v>
      </c>
      <c r="BF195" s="14">
        <f t="shared" si="167"/>
        <v>1.8987770485018903E-12</v>
      </c>
      <c r="BG195" s="22">
        <f t="shared" si="168"/>
        <v>3.5340687393033375E-12</v>
      </c>
      <c r="BH195" s="62">
        <f t="shared" si="116"/>
        <v>293.33333333333684</v>
      </c>
      <c r="BI195" s="62">
        <f ca="1">AVERAGE(OFFSET($BH$3,0,0,'Données projet'!$E$11+1,1))-AVERAGE(OFFSET($H$3,0,0,'Données projet'!$E$11+1,1))</f>
        <v>154.44480170404967</v>
      </c>
      <c r="BJ195" s="62">
        <f t="shared" si="146"/>
        <v>186.45728006007272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1.9895196601282805E-13</v>
      </c>
      <c r="BZ195" s="14">
        <f>BY195*VLOOKUP('Données projet'!$B$12,Paramètres!$A$1:$I$89,3,0)*VLOOKUP('Données projet'!$B$12,Paramètres!$A$1:$I$89,5,0)</f>
        <v>1.3035332813160495E-13</v>
      </c>
      <c r="CA195" s="14">
        <f t="shared" si="170"/>
        <v>1.8987770485018903E-12</v>
      </c>
      <c r="CB195" s="22">
        <f t="shared" si="171"/>
        <v>3.5340687393033375E-12</v>
      </c>
      <c r="CC195" s="62">
        <f t="shared" si="119"/>
        <v>293.33333333333684</v>
      </c>
      <c r="CD195" s="62">
        <f ca="1">AVERAGE(OFFSET($CC$3,0,0,'Données projet'!$E$12+1,1))-AVERAGE(OFFSET($H$3,0,0,'Données projet'!$E$12+1,1))</f>
        <v>154.44480170404967</v>
      </c>
      <c r="CE195" s="62">
        <f t="shared" si="148"/>
        <v>186.45728006007272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9">
        <f t="shared" ref="H196:H203" si="192">(B196+E196+F196)*44/12+(C196+D196)*0.475*44/12</f>
        <v>526.0501302723244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1.9508661353029313E-13</v>
      </c>
      <c r="P196" s="14">
        <f t="shared" si="141"/>
        <v>2.711421636700695E-12</v>
      </c>
      <c r="Q196" s="22">
        <f t="shared" si="162"/>
        <v>5.0621685358189711E-12</v>
      </c>
      <c r="R196" s="62">
        <f t="shared" si="191"/>
        <v>293.33333333333837</v>
      </c>
      <c r="S196" s="62">
        <f ca="1">AVERAGE(OFFSET($R$3,0,0,'Données projet'!$E$9+1,1))-AVERAGE(OFFSET($H$3,0,0,'Données projet'!$E$9+1,1))</f>
        <v>178.42783874015521</v>
      </c>
      <c r="T196" s="62">
        <f t="shared" si="142"/>
        <v>140.03904900962556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1.9357676170473157E-2</v>
      </c>
      <c r="AB196" s="23">
        <f>EXP(-LN(2)/2)*AB195+(1-EXP(-LN(2)/2))/(LN(2)/2)*V196*Y196*VLOOKUP('Données projet'!$B$9,Paramètres!$A$1:$I$89,3,0)*0.475*44/12</f>
        <v>2.0089224986264933E-25</v>
      </c>
      <c r="AC196" s="24">
        <f t="shared" si="163"/>
        <v>1.9357676170473157E-2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216.16876563248064</v>
      </c>
      <c r="AO196" s="62">
        <f t="shared" si="144"/>
        <v>137.55906339137317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2.5184102656449839E-2</v>
      </c>
      <c r="AW196" s="23">
        <f>EXP(-LN(2)/2)*AW195+(1-EXP(-LN(2)/2))/(LN(2)/2)*AQ196*AT196*VLOOKUP('Données projet'!$B$10,Paramètres!$A$1:$I$89,3,0)*0.475*44/12</f>
        <v>1.2870796781074005E-24</v>
      </c>
      <c r="AX196" s="23">
        <f t="shared" si="166"/>
        <v>2.5184102656449839E-2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1.9895196601282805E-13</v>
      </c>
      <c r="BE196" s="14">
        <f>BD196*VLOOKUP('Données projet'!$B$11,Paramètres!$A$1:$I$89,3,0)*VLOOKUP('Données projet'!$B$11,Paramètres!$A$1:$I$89,5,0)</f>
        <v>1.3035332813160495E-13</v>
      </c>
      <c r="BF196" s="14">
        <f t="shared" si="167"/>
        <v>1.8987770485018903E-12</v>
      </c>
      <c r="BG196" s="22">
        <f t="shared" si="168"/>
        <v>3.5340687393033375E-12</v>
      </c>
      <c r="BH196" s="62">
        <f t="shared" ref="BH196:BH203" si="194">BG196+(AY196+AZ196)*44/12</f>
        <v>293.33333333333684</v>
      </c>
      <c r="BI196" s="62">
        <f ca="1">AVERAGE(OFFSET($BH$3,0,0,'Données projet'!$E$11+1,1))-AVERAGE(OFFSET($H$3,0,0,'Données projet'!$E$11+1,1))</f>
        <v>154.44480170404967</v>
      </c>
      <c r="BJ196" s="62">
        <f t="shared" si="146"/>
        <v>186.45728006007272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1.9895196601282805E-13</v>
      </c>
      <c r="BZ196" s="14">
        <f>BY196*VLOOKUP('Données projet'!$B$12,Paramètres!$A$1:$I$89,3,0)*VLOOKUP('Données projet'!$B$12,Paramètres!$A$1:$I$89,5,0)</f>
        <v>1.3035332813160495E-13</v>
      </c>
      <c r="CA196" s="14">
        <f t="shared" si="170"/>
        <v>1.8987770485018903E-12</v>
      </c>
      <c r="CB196" s="22">
        <f t="shared" si="171"/>
        <v>3.5340687393033375E-12</v>
      </c>
      <c r="CC196" s="62">
        <f t="shared" ref="CC196:CC203" si="195">CB196+(BT196+BU196)*44/12</f>
        <v>293.33333333333684</v>
      </c>
      <c r="CD196" s="62">
        <f ca="1">AVERAGE(OFFSET($CC$3,0,0,'Données projet'!$E$12+1,1))-AVERAGE(OFFSET($H$3,0,0,'Données projet'!$E$12+1,1))</f>
        <v>154.44480170404967</v>
      </c>
      <c r="CE196" s="62">
        <f t="shared" si="148"/>
        <v>186.45728006007272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9">
        <f t="shared" si="192"/>
        <v>527.22618604338504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1.9508661353029313E-13</v>
      </c>
      <c r="P197" s="14">
        <f t="shared" ref="P197:P203" si="203">EXP(-1.0587+0.8836*LN(O197)+0.284)</f>
        <v>2.711421636700695E-12</v>
      </c>
      <c r="Q197" s="22">
        <f t="shared" si="162"/>
        <v>5.0621685358189711E-12</v>
      </c>
      <c r="R197" s="62">
        <f t="shared" si="191"/>
        <v>293.33333333333837</v>
      </c>
      <c r="S197" s="62">
        <f ca="1">AVERAGE(OFFSET($R$3,0,0,'Données projet'!$E$9+1,1))-AVERAGE(OFFSET($H$3,0,0,'Données projet'!$E$9+1,1))</f>
        <v>178.42783874015521</v>
      </c>
      <c r="T197" s="62">
        <f t="shared" ref="T197:T203" si="204">$T$3</f>
        <v>140.03904900962556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1.8828339497615622E-2</v>
      </c>
      <c r="AB197" s="23">
        <f>EXP(-LN(2)/2)*AB196+(1-EXP(-LN(2)/2))/(LN(2)/2)*V197*Y197*VLOOKUP('Données projet'!$B$9,Paramètres!$A$1:$I$89,3,0)*0.475*44/12</f>
        <v>1.4205227216570163E-25</v>
      </c>
      <c r="AC197" s="24">
        <f t="shared" si="163"/>
        <v>1.8828339497615622E-2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216.16876563248064</v>
      </c>
      <c r="AO197" s="62">
        <f t="shared" ref="AO197:AO203" si="205">$AO$3</f>
        <v>137.55906339137317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2.4495442044934819E-2</v>
      </c>
      <c r="AW197" s="23">
        <f>EXP(-LN(2)/2)*AW196+(1-EXP(-LN(2)/2))/(LN(2)/2)*AQ197*AT197*VLOOKUP('Données projet'!$B$10,Paramètres!$A$1:$I$89,3,0)*0.475*44/12</f>
        <v>9.1010276831714163E-25</v>
      </c>
      <c r="AX197" s="23">
        <f t="shared" si="166"/>
        <v>2.4495442044934819E-2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1.9895196601282805E-13</v>
      </c>
      <c r="BE197" s="14">
        <f>BD197*VLOOKUP('Données projet'!$B$11,Paramètres!$A$1:$I$89,3,0)*VLOOKUP('Données projet'!$B$11,Paramètres!$A$1:$I$89,5,0)</f>
        <v>1.3035332813160495E-13</v>
      </c>
      <c r="BF197" s="14">
        <f t="shared" si="167"/>
        <v>1.8987770485018903E-12</v>
      </c>
      <c r="BG197" s="22">
        <f t="shared" si="168"/>
        <v>3.5340687393033375E-12</v>
      </c>
      <c r="BH197" s="62">
        <f t="shared" si="194"/>
        <v>293.33333333333684</v>
      </c>
      <c r="BI197" s="62">
        <f ca="1">AVERAGE(OFFSET($BH$3,0,0,'Données projet'!$E$11+1,1))-AVERAGE(OFFSET($H$3,0,0,'Données projet'!$E$11+1,1))</f>
        <v>154.44480170404967</v>
      </c>
      <c r="BJ197" s="62">
        <f t="shared" ref="BJ197:BJ203" si="206">$BJ$3</f>
        <v>186.45728006007272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1.9895196601282805E-13</v>
      </c>
      <c r="BZ197" s="14">
        <f>BY197*VLOOKUP('Données projet'!$B$12,Paramètres!$A$1:$I$89,3,0)*VLOOKUP('Données projet'!$B$12,Paramètres!$A$1:$I$89,5,0)</f>
        <v>1.3035332813160495E-13</v>
      </c>
      <c r="CA197" s="14">
        <f t="shared" si="170"/>
        <v>1.8987770485018903E-12</v>
      </c>
      <c r="CB197" s="22">
        <f t="shared" si="171"/>
        <v>3.5340687393033375E-12</v>
      </c>
      <c r="CC197" s="62">
        <f t="shared" si="195"/>
        <v>293.33333333333684</v>
      </c>
      <c r="CD197" s="62">
        <f ca="1">AVERAGE(OFFSET($CC$3,0,0,'Données projet'!$E$12+1,1))-AVERAGE(OFFSET($H$3,0,0,'Données projet'!$E$12+1,1))</f>
        <v>154.44480170404967</v>
      </c>
      <c r="CE197" s="62">
        <f t="shared" ref="CE197:CE203" si="207">$CE$3</f>
        <v>186.45728006007272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9">
        <f t="shared" si="192"/>
        <v>528.40210679086135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1.9508661353029313E-13</v>
      </c>
      <c r="P198" s="14">
        <f t="shared" si="203"/>
        <v>2.711421636700695E-12</v>
      </c>
      <c r="Q198" s="22">
        <f t="shared" si="162"/>
        <v>5.0621685358189711E-12</v>
      </c>
      <c r="R198" s="62">
        <f t="shared" si="191"/>
        <v>293.33333333333837</v>
      </c>
      <c r="S198" s="62">
        <f ca="1">AVERAGE(OFFSET($R$3,0,0,'Données projet'!$E$9+1,1))-AVERAGE(OFFSET($H$3,0,0,'Données projet'!$E$9+1,1))</f>
        <v>178.42783874015521</v>
      </c>
      <c r="T198" s="62">
        <f t="shared" si="204"/>
        <v>140.03904900962556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1.831347756391398E-2</v>
      </c>
      <c r="AB198" s="23">
        <f>EXP(-LN(2)/2)*AB197+(1-EXP(-LN(2)/2))/(LN(2)/2)*V198*Y198*VLOOKUP('Données projet'!$B$9,Paramètres!$A$1:$I$89,3,0)*0.475*44/12</f>
        <v>1.0044612493132469E-25</v>
      </c>
      <c r="AC198" s="24">
        <f t="shared" si="163"/>
        <v>1.831347756391398E-2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216.16876563248064</v>
      </c>
      <c r="AO198" s="62">
        <f t="shared" si="205"/>
        <v>137.55906339137317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2.3825612894056766E-2</v>
      </c>
      <c r="AW198" s="23">
        <f>EXP(-LN(2)/2)*AW197+(1-EXP(-LN(2)/2))/(LN(2)/2)*AQ198*AT198*VLOOKUP('Données projet'!$B$10,Paramètres!$A$1:$I$89,3,0)*0.475*44/12</f>
        <v>6.4353983905370023E-25</v>
      </c>
      <c r="AX198" s="23">
        <f t="shared" si="166"/>
        <v>2.3825612894056766E-2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1.9895196601282805E-13</v>
      </c>
      <c r="BE198" s="14">
        <f>BD198*VLOOKUP('Données projet'!$B$11,Paramètres!$A$1:$I$89,3,0)*VLOOKUP('Données projet'!$B$11,Paramètres!$A$1:$I$89,5,0)</f>
        <v>1.3035332813160495E-13</v>
      </c>
      <c r="BF198" s="14">
        <f t="shared" si="167"/>
        <v>1.8987770485018903E-12</v>
      </c>
      <c r="BG198" s="22">
        <f t="shared" si="168"/>
        <v>3.5340687393033375E-12</v>
      </c>
      <c r="BH198" s="62">
        <f t="shared" si="194"/>
        <v>293.33333333333684</v>
      </c>
      <c r="BI198" s="62">
        <f ca="1">AVERAGE(OFFSET($BH$3,0,0,'Données projet'!$E$11+1,1))-AVERAGE(OFFSET($H$3,0,0,'Données projet'!$E$11+1,1))</f>
        <v>154.44480170404967</v>
      </c>
      <c r="BJ198" s="62">
        <f t="shared" si="206"/>
        <v>186.45728006007272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1.9895196601282805E-13</v>
      </c>
      <c r="BZ198" s="14">
        <f>BY198*VLOOKUP('Données projet'!$B$12,Paramètres!$A$1:$I$89,3,0)*VLOOKUP('Données projet'!$B$12,Paramètres!$A$1:$I$89,5,0)</f>
        <v>1.3035332813160495E-13</v>
      </c>
      <c r="CA198" s="14">
        <f t="shared" si="170"/>
        <v>1.8987770485018903E-12</v>
      </c>
      <c r="CB198" s="22">
        <f t="shared" si="171"/>
        <v>3.5340687393033375E-12</v>
      </c>
      <c r="CC198" s="62">
        <f t="shared" si="195"/>
        <v>293.33333333333684</v>
      </c>
      <c r="CD198" s="62">
        <f ca="1">AVERAGE(OFFSET($CC$3,0,0,'Données projet'!$E$12+1,1))-AVERAGE(OFFSET($H$3,0,0,'Données projet'!$E$12+1,1))</f>
        <v>154.44480170404967</v>
      </c>
      <c r="CE198" s="62">
        <f t="shared" si="207"/>
        <v>186.45728006007272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9">
        <f t="shared" si="192"/>
        <v>529.57789328755689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1.9508661353029313E-13</v>
      </c>
      <c r="P199" s="14">
        <f t="shared" si="203"/>
        <v>2.711421636700695E-12</v>
      </c>
      <c r="Q199" s="22">
        <f t="shared" si="162"/>
        <v>5.0621685358189711E-12</v>
      </c>
      <c r="R199" s="62">
        <f t="shared" si="191"/>
        <v>293.33333333333837</v>
      </c>
      <c r="S199" s="62">
        <f ca="1">AVERAGE(OFFSET($R$3,0,0,'Données projet'!$E$9+1,1))-AVERAGE(OFFSET($H$3,0,0,'Données projet'!$E$9+1,1))</f>
        <v>178.42783874015521</v>
      </c>
      <c r="T199" s="62">
        <f t="shared" si="204"/>
        <v>140.03904900962556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1.7812694556864822E-2</v>
      </c>
      <c r="AB199" s="23">
        <f>EXP(-LN(2)/2)*AB198+(1-EXP(-LN(2)/2))/(LN(2)/2)*V199*Y199*VLOOKUP('Données projet'!$B$9,Paramètres!$A$1:$I$89,3,0)*0.475*44/12</f>
        <v>7.1026136082850828E-26</v>
      </c>
      <c r="AC199" s="24">
        <f t="shared" si="163"/>
        <v>1.7812694556864822E-2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216.16876563248064</v>
      </c>
      <c r="AO199" s="62">
        <f t="shared" si="205"/>
        <v>137.55906339137317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2.3174100256534255E-2</v>
      </c>
      <c r="AW199" s="23">
        <f>EXP(-LN(2)/2)*AW198+(1-EXP(-LN(2)/2))/(LN(2)/2)*AQ199*AT199*VLOOKUP('Données projet'!$B$10,Paramètres!$A$1:$I$89,3,0)*0.475*44/12</f>
        <v>4.5505138415857082E-25</v>
      </c>
      <c r="AX199" s="23">
        <f t="shared" si="166"/>
        <v>2.3174100256534255E-2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1.9895196601282805E-13</v>
      </c>
      <c r="BE199" s="14">
        <f>BD199*VLOOKUP('Données projet'!$B$11,Paramètres!$A$1:$I$89,3,0)*VLOOKUP('Données projet'!$B$11,Paramètres!$A$1:$I$89,5,0)</f>
        <v>1.3035332813160495E-13</v>
      </c>
      <c r="BF199" s="14">
        <f t="shared" si="167"/>
        <v>1.8987770485018903E-12</v>
      </c>
      <c r="BG199" s="22">
        <f t="shared" si="168"/>
        <v>3.5340687393033375E-12</v>
      </c>
      <c r="BH199" s="62">
        <f t="shared" si="194"/>
        <v>293.33333333333684</v>
      </c>
      <c r="BI199" s="62">
        <f ca="1">AVERAGE(OFFSET($BH$3,0,0,'Données projet'!$E$11+1,1))-AVERAGE(OFFSET($H$3,0,0,'Données projet'!$E$11+1,1))</f>
        <v>154.44480170404967</v>
      </c>
      <c r="BJ199" s="62">
        <f t="shared" si="206"/>
        <v>186.45728006007272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1.9895196601282805E-13</v>
      </c>
      <c r="BZ199" s="14">
        <f>BY199*VLOOKUP('Données projet'!$B$12,Paramètres!$A$1:$I$89,3,0)*VLOOKUP('Données projet'!$B$12,Paramètres!$A$1:$I$89,5,0)</f>
        <v>1.3035332813160495E-13</v>
      </c>
      <c r="CA199" s="14">
        <f t="shared" si="170"/>
        <v>1.8987770485018903E-12</v>
      </c>
      <c r="CB199" s="22">
        <f t="shared" si="171"/>
        <v>3.5340687393033375E-12</v>
      </c>
      <c r="CC199" s="62">
        <f t="shared" si="195"/>
        <v>293.33333333333684</v>
      </c>
      <c r="CD199" s="62">
        <f ca="1">AVERAGE(OFFSET($CC$3,0,0,'Données projet'!$E$12+1,1))-AVERAGE(OFFSET($H$3,0,0,'Données projet'!$E$12+1,1))</f>
        <v>154.44480170404967</v>
      </c>
      <c r="CE199" s="62">
        <f t="shared" si="207"/>
        <v>186.45728006007272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9">
        <f t="shared" si="192"/>
        <v>530.75354629793264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1.9508661353029313E-13</v>
      </c>
      <c r="P200" s="14">
        <f t="shared" si="203"/>
        <v>2.711421636700695E-12</v>
      </c>
      <c r="Q200" s="22">
        <f t="shared" si="162"/>
        <v>5.0621685358189711E-12</v>
      </c>
      <c r="R200" s="62">
        <f t="shared" si="191"/>
        <v>293.33333333333837</v>
      </c>
      <c r="S200" s="62">
        <f ca="1">AVERAGE(OFFSET($R$3,0,0,'Données projet'!$E$9+1,1))-AVERAGE(OFFSET($H$3,0,0,'Données projet'!$E$9+1,1))</f>
        <v>178.42783874015521</v>
      </c>
      <c r="T200" s="62">
        <f t="shared" si="204"/>
        <v>140.03904900962556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1.7325605487478458E-2</v>
      </c>
      <c r="AB200" s="23">
        <f>EXP(-LN(2)/2)*AB199+(1-EXP(-LN(2)/2))/(LN(2)/2)*V200*Y200*VLOOKUP('Données projet'!$B$9,Paramètres!$A$1:$I$89,3,0)*0.475*44/12</f>
        <v>5.0223062465662351E-26</v>
      </c>
      <c r="AC200" s="24">
        <f t="shared" si="163"/>
        <v>1.7325605487478458E-2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216.16876563248064</v>
      </c>
      <c r="AO200" s="62">
        <f t="shared" si="205"/>
        <v>137.55906339137317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2.2540403266346359E-2</v>
      </c>
      <c r="AW200" s="23">
        <f>EXP(-LN(2)/2)*AW199+(1-EXP(-LN(2)/2))/(LN(2)/2)*AQ200*AT200*VLOOKUP('Données projet'!$B$10,Paramètres!$A$1:$I$89,3,0)*0.475*44/12</f>
        <v>3.2176991952685012E-25</v>
      </c>
      <c r="AX200" s="23">
        <f t="shared" si="166"/>
        <v>2.2540403266346359E-2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1.9895196601282805E-13</v>
      </c>
      <c r="BE200" s="14">
        <f>BD200*VLOOKUP('Données projet'!$B$11,Paramètres!$A$1:$I$89,3,0)*VLOOKUP('Données projet'!$B$11,Paramètres!$A$1:$I$89,5,0)</f>
        <v>1.3035332813160495E-13</v>
      </c>
      <c r="BF200" s="14">
        <f t="shared" si="167"/>
        <v>1.8987770485018903E-12</v>
      </c>
      <c r="BG200" s="22">
        <f t="shared" si="168"/>
        <v>3.5340687393033375E-12</v>
      </c>
      <c r="BH200" s="62">
        <f t="shared" si="194"/>
        <v>293.33333333333684</v>
      </c>
      <c r="BI200" s="62">
        <f ca="1">AVERAGE(OFFSET($BH$3,0,0,'Données projet'!$E$11+1,1))-AVERAGE(OFFSET($H$3,0,0,'Données projet'!$E$11+1,1))</f>
        <v>154.44480170404967</v>
      </c>
      <c r="BJ200" s="62">
        <f t="shared" si="206"/>
        <v>186.45728006007272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1.9895196601282805E-13</v>
      </c>
      <c r="BZ200" s="14">
        <f>BY200*VLOOKUP('Données projet'!$B$12,Paramètres!$A$1:$I$89,3,0)*VLOOKUP('Données projet'!$B$12,Paramètres!$A$1:$I$89,5,0)</f>
        <v>1.3035332813160495E-13</v>
      </c>
      <c r="CA200" s="14">
        <f t="shared" si="170"/>
        <v>1.8987770485018903E-12</v>
      </c>
      <c r="CB200" s="22">
        <f t="shared" si="171"/>
        <v>3.5340687393033375E-12</v>
      </c>
      <c r="CC200" s="62">
        <f t="shared" si="195"/>
        <v>293.33333333333684</v>
      </c>
      <c r="CD200" s="62">
        <f ca="1">AVERAGE(OFFSET($CC$3,0,0,'Données projet'!$E$12+1,1))-AVERAGE(OFFSET($H$3,0,0,'Données projet'!$E$12+1,1))</f>
        <v>154.44480170404967</v>
      </c>
      <c r="CE200" s="62">
        <f t="shared" si="207"/>
        <v>186.45728006007272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9">
        <f t="shared" si="192"/>
        <v>531.9290665782396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1.9508661353029313E-13</v>
      </c>
      <c r="P201" s="14">
        <f t="shared" si="203"/>
        <v>2.711421636700695E-12</v>
      </c>
      <c r="Q201" s="22">
        <f t="shared" si="162"/>
        <v>5.0621685358189711E-12</v>
      </c>
      <c r="R201" s="62">
        <f t="shared" si="191"/>
        <v>293.33333333333837</v>
      </c>
      <c r="S201" s="62">
        <f ca="1">AVERAGE(OFFSET($R$3,0,0,'Données projet'!$E$9+1,1))-AVERAGE(OFFSET($H$3,0,0,'Données projet'!$E$9+1,1))</f>
        <v>178.42783874015521</v>
      </c>
      <c r="T201" s="62">
        <f t="shared" si="204"/>
        <v>140.03904900962556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1.6851835894309365E-2</v>
      </c>
      <c r="AB201" s="23">
        <f>EXP(-LN(2)/2)*AB200+(1-EXP(-LN(2)/2))/(LN(2)/2)*V201*Y201*VLOOKUP('Données projet'!$B$9,Paramètres!$A$1:$I$89,3,0)*0.475*44/12</f>
        <v>3.551306804142542E-26</v>
      </c>
      <c r="AC201" s="24">
        <f t="shared" si="163"/>
        <v>1.6851835894309365E-2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216.16876563248064</v>
      </c>
      <c r="AO201" s="62">
        <f t="shared" si="205"/>
        <v>137.55906339137317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2.1924034753679825E-2</v>
      </c>
      <c r="AW201" s="23">
        <f>EXP(-LN(2)/2)*AW200+(1-EXP(-LN(2)/2))/(LN(2)/2)*AQ201*AT201*VLOOKUP('Données projet'!$B$10,Paramètres!$A$1:$I$89,3,0)*0.475*44/12</f>
        <v>2.2752569207928541E-25</v>
      </c>
      <c r="AX201" s="23">
        <f t="shared" si="166"/>
        <v>2.1924034753679825E-2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1.9895196601282805E-13</v>
      </c>
      <c r="BE201" s="14">
        <f>BD201*VLOOKUP('Données projet'!$B$11,Paramètres!$A$1:$I$89,3,0)*VLOOKUP('Données projet'!$B$11,Paramètres!$A$1:$I$89,5,0)</f>
        <v>1.3035332813160495E-13</v>
      </c>
      <c r="BF201" s="14">
        <f t="shared" si="167"/>
        <v>1.8987770485018903E-12</v>
      </c>
      <c r="BG201" s="22">
        <f t="shared" si="168"/>
        <v>3.5340687393033375E-12</v>
      </c>
      <c r="BH201" s="62">
        <f t="shared" si="194"/>
        <v>293.33333333333684</v>
      </c>
      <c r="BI201" s="62">
        <f ca="1">AVERAGE(OFFSET($BH$3,0,0,'Données projet'!$E$11+1,1))-AVERAGE(OFFSET($H$3,0,0,'Données projet'!$E$11+1,1))</f>
        <v>154.44480170404967</v>
      </c>
      <c r="BJ201" s="62">
        <f t="shared" si="206"/>
        <v>186.45728006007272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1.9895196601282805E-13</v>
      </c>
      <c r="BZ201" s="14">
        <f>BY201*VLOOKUP('Données projet'!$B$12,Paramètres!$A$1:$I$89,3,0)*VLOOKUP('Données projet'!$B$12,Paramètres!$A$1:$I$89,5,0)</f>
        <v>1.3035332813160495E-13</v>
      </c>
      <c r="CA201" s="14">
        <f t="shared" si="170"/>
        <v>1.8987770485018903E-12</v>
      </c>
      <c r="CB201" s="22">
        <f t="shared" si="171"/>
        <v>3.5340687393033375E-12</v>
      </c>
      <c r="CC201" s="62">
        <f t="shared" si="195"/>
        <v>293.33333333333684</v>
      </c>
      <c r="CD201" s="62">
        <f ca="1">AVERAGE(OFFSET($CC$3,0,0,'Données projet'!$E$12+1,1))-AVERAGE(OFFSET($H$3,0,0,'Données projet'!$E$12+1,1))</f>
        <v>154.44480170404967</v>
      </c>
      <c r="CE201" s="62">
        <f t="shared" si="207"/>
        <v>186.45728006007272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9">
        <f t="shared" si="192"/>
        <v>533.10445487664697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1.9508661353029313E-13</v>
      </c>
      <c r="P202" s="14">
        <f t="shared" si="203"/>
        <v>2.711421636700695E-12</v>
      </c>
      <c r="Q202" s="22">
        <f t="shared" si="162"/>
        <v>5.0621685358189711E-12</v>
      </c>
      <c r="R202" s="62">
        <f t="shared" si="191"/>
        <v>293.33333333333837</v>
      </c>
      <c r="S202" s="62">
        <f ca="1">AVERAGE(OFFSET($R$3,0,0,'Données projet'!$E$9+1,1))-AVERAGE(OFFSET($H$3,0,0,'Données projet'!$E$9+1,1))</f>
        <v>178.42783874015521</v>
      </c>
      <c r="T202" s="62">
        <f t="shared" si="204"/>
        <v>140.03904900962556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1.6391021555579942E-2</v>
      </c>
      <c r="AB202" s="23">
        <f>EXP(-LN(2)/2)*AB201+(1-EXP(-LN(2)/2))/(LN(2)/2)*V202*Y202*VLOOKUP('Données projet'!$B$9,Paramètres!$A$1:$I$89,3,0)*0.475*44/12</f>
        <v>2.5111531232831181E-26</v>
      </c>
      <c r="AC202" s="24">
        <f t="shared" si="163"/>
        <v>1.6391021555579942E-2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216.16876563248064</v>
      </c>
      <c r="AO202" s="62">
        <f t="shared" si="205"/>
        <v>137.55906339137317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2.132452087040557E-2</v>
      </c>
      <c r="AW202" s="23">
        <f>EXP(-LN(2)/2)*AW201+(1-EXP(-LN(2)/2))/(LN(2)/2)*AQ202*AT202*VLOOKUP('Données projet'!$B$10,Paramètres!$A$1:$I$89,3,0)*0.475*44/12</f>
        <v>1.6088495976342506E-25</v>
      </c>
      <c r="AX202" s="23">
        <f t="shared" si="166"/>
        <v>2.132452087040557E-2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1.9895196601282805E-13</v>
      </c>
      <c r="BE202" s="14">
        <f>BD202*VLOOKUP('Données projet'!$B$11,Paramètres!$A$1:$I$89,3,0)*VLOOKUP('Données projet'!$B$11,Paramètres!$A$1:$I$89,5,0)</f>
        <v>1.3035332813160495E-13</v>
      </c>
      <c r="BF202" s="14">
        <f t="shared" si="167"/>
        <v>1.8987770485018903E-12</v>
      </c>
      <c r="BG202" s="22">
        <f t="shared" si="168"/>
        <v>3.5340687393033375E-12</v>
      </c>
      <c r="BH202" s="62">
        <f t="shared" si="194"/>
        <v>293.33333333333684</v>
      </c>
      <c r="BI202" s="62">
        <f ca="1">AVERAGE(OFFSET($BH$3,0,0,'Données projet'!$E$11+1,1))-AVERAGE(OFFSET($H$3,0,0,'Données projet'!$E$11+1,1))</f>
        <v>154.44480170404967</v>
      </c>
      <c r="BJ202" s="62">
        <f t="shared" si="206"/>
        <v>186.45728006007272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1.9895196601282805E-13</v>
      </c>
      <c r="BZ202" s="14">
        <f>BY202*VLOOKUP('Données projet'!$B$12,Paramètres!$A$1:$I$89,3,0)*VLOOKUP('Données projet'!$B$12,Paramètres!$A$1:$I$89,5,0)</f>
        <v>1.3035332813160495E-13</v>
      </c>
      <c r="CA202" s="14">
        <f t="shared" si="170"/>
        <v>1.8987770485018903E-12</v>
      </c>
      <c r="CB202" s="22">
        <f t="shared" si="171"/>
        <v>3.5340687393033375E-12</v>
      </c>
      <c r="CC202" s="62">
        <f t="shared" si="195"/>
        <v>293.33333333333684</v>
      </c>
      <c r="CD202" s="62">
        <f ca="1">AVERAGE(OFFSET($CC$3,0,0,'Données projet'!$E$12+1,1))-AVERAGE(OFFSET($H$3,0,0,'Données projet'!$E$12+1,1))</f>
        <v>154.44480170404967</v>
      </c>
      <c r="CE202" s="62">
        <f t="shared" si="207"/>
        <v>186.45728006007272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9">
        <f t="shared" si="192"/>
        <v>534.27971193336975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1.9508661353029313E-13</v>
      </c>
      <c r="P203" s="14">
        <f t="shared" si="203"/>
        <v>2.711421636700695E-12</v>
      </c>
      <c r="Q203" s="22">
        <f t="shared" si="162"/>
        <v>5.0621685358189711E-12</v>
      </c>
      <c r="R203" s="62">
        <f t="shared" si="191"/>
        <v>293.33333333333837</v>
      </c>
      <c r="S203" s="62">
        <f ca="1">AVERAGE(OFFSET($R$3,0,0,'Données projet'!$E$9+1,1))-AVERAGE(OFFSET($H$3,0,0,'Données projet'!$E$9+1,1))</f>
        <v>178.42783874015521</v>
      </c>
      <c r="T203" s="62">
        <f t="shared" si="204"/>
        <v>140.03904900962556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1.5942808209176249E-2</v>
      </c>
      <c r="AB203" s="23">
        <f>EXP(-LN(2)/2)*AB202+(1-EXP(-LN(2)/2))/(LN(2)/2)*V203*Y203*VLOOKUP('Données projet'!$B$9,Paramètres!$A$1:$I$89,3,0)*0.475*44/12</f>
        <v>1.7756534020712713E-26</v>
      </c>
      <c r="AC203" s="24">
        <f t="shared" si="163"/>
        <v>1.5942808209176249E-2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216.16876563248064</v>
      </c>
      <c r="AO203" s="62">
        <f t="shared" si="205"/>
        <v>137.55906339137317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2.0741400725796517E-2</v>
      </c>
      <c r="AW203" s="23">
        <f>EXP(-LN(2)/2)*AW202+(1-EXP(-LN(2)/2))/(LN(2)/2)*AQ203*AT203*VLOOKUP('Données projet'!$B$10,Paramètres!$A$1:$I$89,3,0)*0.475*44/12</f>
        <v>1.137628460396427E-25</v>
      </c>
      <c r="AX203" s="23">
        <f t="shared" si="166"/>
        <v>2.0741400725796517E-2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1.9895196601282805E-13</v>
      </c>
      <c r="BE203" s="14">
        <f>BD203*VLOOKUP('Données projet'!$B$11,Paramètres!$A$1:$I$89,3,0)*VLOOKUP('Données projet'!$B$11,Paramètres!$A$1:$I$89,5,0)</f>
        <v>1.3035332813160495E-13</v>
      </c>
      <c r="BF203" s="14">
        <f t="shared" si="167"/>
        <v>1.8987770485018903E-12</v>
      </c>
      <c r="BG203" s="22">
        <f t="shared" si="168"/>
        <v>3.5340687393033375E-12</v>
      </c>
      <c r="BH203" s="62">
        <f t="shared" si="194"/>
        <v>293.33333333333684</v>
      </c>
      <c r="BI203" s="62">
        <f ca="1">AVERAGE(OFFSET($BH$3,0,0,'Données projet'!$E$11+1,1))-AVERAGE(OFFSET($H$3,0,0,'Données projet'!$E$11+1,1))</f>
        <v>154.44480170404967</v>
      </c>
      <c r="BJ203" s="62">
        <f t="shared" si="206"/>
        <v>186.45728006007272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1.9895196601282805E-13</v>
      </c>
      <c r="BZ203" s="14">
        <f>BY203*VLOOKUP('Données projet'!$B$12,Paramètres!$A$1:$I$89,3,0)*VLOOKUP('Données projet'!$B$12,Paramètres!$A$1:$I$89,5,0)</f>
        <v>1.3035332813160495E-13</v>
      </c>
      <c r="CA203" s="14">
        <f t="shared" si="170"/>
        <v>1.8987770485018903E-12</v>
      </c>
      <c r="CB203" s="22">
        <f t="shared" si="171"/>
        <v>3.5340687393033375E-12</v>
      </c>
      <c r="CC203" s="62">
        <f t="shared" si="195"/>
        <v>293.33333333333684</v>
      </c>
      <c r="CD203" s="62">
        <f ca="1">AVERAGE(OFFSET($CC$3,0,0,'Données projet'!$E$12+1,1))-AVERAGE(OFFSET($H$3,0,0,'Données projet'!$E$12+1,1))</f>
        <v>154.44480170404967</v>
      </c>
      <c r="CE203" s="62">
        <f t="shared" si="207"/>
        <v>186.45728006007272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1.201293267214846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1.1932635389591795</v>
      </c>
      <c r="BA205" s="87">
        <f>EXP(LN('Données projet'!B88)/'Données projet'!A88)</f>
        <v>1.2457309396155174</v>
      </c>
      <c r="BV205" s="87">
        <f>EXP(LN('Données projet'!B114)/'Données projet'!A114)</f>
        <v>1.2457309396155174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41" zoomScale="70" zoomScaleNormal="70" workbookViewId="0">
      <selection activeCell="C62" sqref="C6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B1" zoomScaleNormal="100" workbookViewId="0">
      <selection activeCell="H15" sqref="H1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Pin sylvestre</v>
      </c>
      <c r="B6" s="153">
        <f>'Données projet'!D9</f>
        <v>2.5024999999999999</v>
      </c>
      <c r="C6" s="154">
        <f ca="1">IF(OR('Données projet'!B9="",'Données projet'!C9="",'Données projet'!C9=0%),0,Calculateur!S3)</f>
        <v>178.42783874015521</v>
      </c>
      <c r="D6" s="154">
        <f>IF(OR('Données projet'!B9="",'Données projet'!C9="",'Données projet'!C9=0%),0,Calculateur!T3)</f>
        <v>140.03904900962556</v>
      </c>
      <c r="E6" s="154">
        <f ca="1">MIN(C6,D6)</f>
        <v>140.03904900962556</v>
      </c>
      <c r="F6" s="154">
        <f ca="1">E6*B6</f>
        <v>350.44772014658793</v>
      </c>
      <c r="G6" s="154">
        <f ca="1">F6*(100%-'Données projet'!$C$24)*(100%-'Données projet'!$C$25)*(100%-'Données projet'!$C$26)*(100%-'Données projet'!$C$27)</f>
        <v>315.40294813192912</v>
      </c>
      <c r="H6" s="155">
        <f>IF(OR('Données projet'!B9="",'Données projet'!C9="",'Données projet'!C9=0%),0,AVERAGE(Calculateur!$AC$3:$AC$33)*B6)</f>
        <v>1.8603733862522822</v>
      </c>
      <c r="I6" s="156">
        <f>H6*(100%-'Données projet'!$C$24)*(100%-'Données projet'!$C$25)*(100%-'Données projet'!$C$26)*(100%-'Données projet'!$C$27)</f>
        <v>1.6743360476270541</v>
      </c>
      <c r="J6" s="157">
        <f>IF(OR('Données projet'!B9="",'Données projet'!C9="",'Données projet'!C9=0%),0,SUM(Calculateur!$V$3:$V$33)*VLOOKUP('Données projet'!$B$9,Paramètres!$A$1:$I$89,9,0)*B6)</f>
        <v>37.662624999999998</v>
      </c>
      <c r="K6" s="158">
        <f>J6*(100%-'Données projet'!$C$24)*(100%-'Données projet'!$C$25)*(100%-'Données projet'!$C$26)*(100%-'Données projet'!$C$27)</f>
        <v>33.896362500000002</v>
      </c>
      <c r="L6" s="159">
        <f ca="1">G6+I6+K6</f>
        <v>350.97364667955617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laricio</v>
      </c>
      <c r="B7" s="161">
        <f>'Données projet'!D10</f>
        <v>2.5024999999999999</v>
      </c>
      <c r="C7" s="154">
        <f ca="1">IF(OR('Données projet'!B10="",'Données projet'!C10="",'Données projet'!C10=0%),0,Calculateur!AN3)</f>
        <v>216.16876563248064</v>
      </c>
      <c r="D7" s="154">
        <f>IF(OR('Données projet'!B10="",'Données projet'!C10="",'Données projet'!C10=0%),0,Calculateur!AO3)</f>
        <v>137.55906339137317</v>
      </c>
      <c r="E7" s="154">
        <f t="shared" ref="E7:E15" ca="1" si="0">MIN(C7,D7)</f>
        <v>137.55906339137317</v>
      </c>
      <c r="F7" s="154">
        <f t="shared" ref="F7:F15" ca="1" si="1">E7*B7</f>
        <v>344.24155613691136</v>
      </c>
      <c r="G7" s="154">
        <f ca="1">F7*(100%-'Données projet'!$C$24)*(100%-'Données projet'!$C$25)*(100%-'Données projet'!$C$26)*(100%-'Données projet'!$C$27)</f>
        <v>309.81740052322021</v>
      </c>
      <c r="H7" s="162">
        <f>IF(OR('Données projet'!B10="",'Données projet'!C10="",'Données projet'!C10=0%),0,AVERAGE(Calculateur!$AX$3:$AX$33)*B7)</f>
        <v>0.54184864729282756</v>
      </c>
      <c r="I7" s="156">
        <f>H7*(100%-'Données projet'!$C$24)*(100%-'Données projet'!$C$25)*(100%-'Données projet'!$C$26)*(100%-'Données projet'!$C$27)</f>
        <v>0.48766378256354481</v>
      </c>
      <c r="J7" s="157">
        <f>IF(OR('Données projet'!B10="",'Données projet'!C10="",'Données projet'!C10=0%),0,SUM(Calculateur!$AQ$3:$AQ$33)*VLOOKUP('Données projet'!$B$10,Paramètres!$A$1:$I$89,9,0)*B7)</f>
        <v>30.130099999999999</v>
      </c>
      <c r="K7" s="158">
        <f>J7*(100%-'Données projet'!$C$24)*(100%-'Données projet'!$C$25)*(100%-'Données projet'!$C$26)*(100%-'Données projet'!$C$27)</f>
        <v>27.117090000000001</v>
      </c>
      <c r="L7" s="159">
        <f t="shared" ref="L7:L15" ca="1" si="2">G7+I7+K7</f>
        <v>337.42215430578381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Aulne glutineux</v>
      </c>
      <c r="B8" s="161">
        <f>'Données projet'!D11</f>
        <v>0.74750000000000005</v>
      </c>
      <c r="C8" s="154">
        <f ca="1">IF(OR('Données projet'!B11="",'Données projet'!C11="",'Données projet'!C11=0%),0,Calculateur!BI3)</f>
        <v>154.44480170404967</v>
      </c>
      <c r="D8" s="154">
        <f>IF(OR('Données projet'!B11="",'Données projet'!C11="",'Données projet'!C11=0%),0,Calculateur!BJ3)</f>
        <v>186.45728006007272</v>
      </c>
      <c r="E8" s="154">
        <f t="shared" ca="1" si="0"/>
        <v>154.44480170404967</v>
      </c>
      <c r="F8" s="154">
        <f t="shared" ca="1" si="1"/>
        <v>115.44748927377714</v>
      </c>
      <c r="G8" s="154">
        <f ca="1">F8*(100%-'Données projet'!$C$24)*(100%-'Données projet'!$C$25)*(100%-'Données projet'!$C$26)*(100%-'Données projet'!$C$27)</f>
        <v>103.90274034639943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9.5306250000000006</v>
      </c>
      <c r="K8" s="158">
        <f>J8*(100%-'Données projet'!$C$24)*(100%-'Données projet'!$C$25)*(100%-'Données projet'!$C$26)*(100%-'Données projet'!$C$27)</f>
        <v>8.5775625000000009</v>
      </c>
      <c r="L8" s="159">
        <f t="shared" ca="1" si="2"/>
        <v>112.48030284639943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Aulne à feuilles en cœur</v>
      </c>
      <c r="B9" s="161">
        <f>'Données projet'!D12</f>
        <v>0.74750000000000005</v>
      </c>
      <c r="C9" s="154">
        <f ca="1">IF(OR('Données projet'!B12="",'Données projet'!C12="",'Données projet'!C12=0%),0,Calculateur!CD3)</f>
        <v>154.44480170404967</v>
      </c>
      <c r="D9" s="154">
        <f>IF(OR('Données projet'!B12="",'Données projet'!C12="",'Données projet'!C12=0%),0,Calculateur!CE3)</f>
        <v>186.45728006007272</v>
      </c>
      <c r="E9" s="154">
        <f t="shared" ca="1" si="0"/>
        <v>154.44480170404967</v>
      </c>
      <c r="F9" s="154">
        <f t="shared" ca="1" si="1"/>
        <v>115.44748927377714</v>
      </c>
      <c r="G9" s="154">
        <f ca="1">F9*(100%-'Données projet'!$C$24)*(100%-'Données projet'!$C$25)*(100%-'Données projet'!$C$26)*(100%-'Données projet'!$C$27)</f>
        <v>103.90274034639943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9.5306250000000006</v>
      </c>
      <c r="K9" s="158">
        <f>J9*(100%-'Données projet'!$C$24)*(100%-'Données projet'!$C$25)*(100%-'Données projet'!$C$26)*(100%-'Données projet'!$C$27)</f>
        <v>8.5775625000000009</v>
      </c>
      <c r="L9" s="159">
        <f t="shared" ca="1" si="2"/>
        <v>112.48030284639943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925.58425483105361</v>
      </c>
      <c r="G16" s="173">
        <f t="shared" ca="1" si="3"/>
        <v>833.02582934794827</v>
      </c>
      <c r="H16" s="174">
        <f t="shared" si="3"/>
        <v>2.4022220335451099</v>
      </c>
      <c r="I16" s="174">
        <f t="shared" si="3"/>
        <v>2.1619998301905987</v>
      </c>
      <c r="J16" s="175">
        <f t="shared" si="3"/>
        <v>86.853974999999991</v>
      </c>
      <c r="K16" s="175">
        <f t="shared" si="3"/>
        <v>78.168577499999998</v>
      </c>
      <c r="L16" s="176">
        <f t="shared" ca="1" si="3"/>
        <v>913.35640667813891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Pin sylvestre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laricio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Aulne glutineux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Aulne à feuilles en cœur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D6" zoomScale="85" zoomScaleNormal="85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sylvestre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1448.220840315184</v>
      </c>
      <c r="U10" s="188">
        <f>'Données projet'!D9</f>
        <v>2.5024999999999999</v>
      </c>
      <c r="V10" s="187">
        <f>U10*T10</f>
        <v>3624.172652888748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laricio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1355.9500415915295</v>
      </c>
      <c r="U11" s="188">
        <f>'Données projet'!D10</f>
        <v>2.5024999999999999</v>
      </c>
      <c r="V11" s="187">
        <f t="shared" ref="V11" si="0">U11*T11</f>
        <v>3393.2649790828027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Aulne glutineux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630.53860437407752</v>
      </c>
      <c r="U12" s="188">
        <f>'Données projet'!D11</f>
        <v>0.74750000000000005</v>
      </c>
      <c r="V12" s="187">
        <f t="shared" ref="V12:V19" si="1">U12*T12</f>
        <v>471.327606769623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Aulne à feuilles en cœur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630.53860437407752</v>
      </c>
      <c r="U13" s="188">
        <f>'Données projet'!D12</f>
        <v>0.74750000000000005</v>
      </c>
      <c r="V13" s="187">
        <f t="shared" si="1"/>
        <v>471.327606769623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Pin sylvestre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>
        <v>100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>
        <v>20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1999.9999999999982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7526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25</v>
      </c>
      <c r="B23" s="191">
        <f>'Données projet'!D36</f>
        <v>12</v>
      </c>
      <c r="C23" s="204">
        <v>15</v>
      </c>
      <c r="D23" s="192">
        <f>B23*C23</f>
        <v>180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-40958.907154489207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30</v>
      </c>
      <c r="B24" s="191">
        <f>'Données projet'!D37</f>
        <v>23</v>
      </c>
      <c r="C24" s="204">
        <v>20</v>
      </c>
      <c r="D24" s="192">
        <f t="shared" ref="D24:D42" si="2">B24*C24</f>
        <v>460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159.33614574172378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35</v>
      </c>
      <c r="B25" s="191">
        <f>'Données projet'!D38</f>
        <v>28</v>
      </c>
      <c r="C25" s="204">
        <v>20</v>
      </c>
      <c r="D25" s="192">
        <f t="shared" si="2"/>
        <v>560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9">
        <f ca="1">T23-T24</f>
        <v>-41118.243300230934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40</v>
      </c>
      <c r="B26" s="191">
        <f>'Données projet'!D39</f>
        <v>37</v>
      </c>
      <c r="C26" s="204">
        <v>25</v>
      </c>
      <c r="D26" s="192">
        <f t="shared" si="2"/>
        <v>925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50</v>
      </c>
      <c r="B27" s="191">
        <f>'Données projet'!D40</f>
        <v>65</v>
      </c>
      <c r="C27" s="204">
        <v>30</v>
      </c>
      <c r="D27" s="192">
        <f t="shared" si="2"/>
        <v>1950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60</v>
      </c>
      <c r="B28" s="191">
        <f>'Données projet'!D41</f>
        <v>60</v>
      </c>
      <c r="C28" s="204">
        <v>35</v>
      </c>
      <c r="D28" s="192">
        <f t="shared" si="2"/>
        <v>2100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70</v>
      </c>
      <c r="B29" s="191">
        <f>'Données projet'!D42</f>
        <v>52</v>
      </c>
      <c r="C29" s="204">
        <v>40</v>
      </c>
      <c r="D29" s="192">
        <f t="shared" si="2"/>
        <v>2080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80</v>
      </c>
      <c r="B30" s="191">
        <f>'Données projet'!D43</f>
        <v>395</v>
      </c>
      <c r="C30" s="204">
        <v>45</v>
      </c>
      <c r="D30" s="192">
        <f t="shared" si="2"/>
        <v>17775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laricio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27</v>
      </c>
      <c r="B54" s="191">
        <f>'Données projet'!D62</f>
        <v>15</v>
      </c>
      <c r="C54" s="204">
        <v>10</v>
      </c>
      <c r="D54" s="189">
        <f>B54*C54</f>
        <v>150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30</v>
      </c>
      <c r="B55" s="191">
        <f>'Données projet'!D63</f>
        <v>13</v>
      </c>
      <c r="C55" s="204">
        <v>10</v>
      </c>
      <c r="D55" s="189">
        <f t="shared" ref="D55:D73" si="4">B55*C55</f>
        <v>130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35</v>
      </c>
      <c r="B56" s="191">
        <f>'Données projet'!D64</f>
        <v>23</v>
      </c>
      <c r="C56" s="204">
        <v>10</v>
      </c>
      <c r="D56" s="189">
        <f t="shared" si="4"/>
        <v>230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40</v>
      </c>
      <c r="B57" s="191">
        <f>'Données projet'!D65</f>
        <v>34</v>
      </c>
      <c r="C57" s="204">
        <v>20</v>
      </c>
      <c r="D57" s="189">
        <f t="shared" si="4"/>
        <v>680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50</v>
      </c>
      <c r="B58" s="191">
        <f>'Données projet'!D66</f>
        <v>79</v>
      </c>
      <c r="C58" s="204">
        <v>25</v>
      </c>
      <c r="D58" s="189">
        <f t="shared" si="4"/>
        <v>1975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60</v>
      </c>
      <c r="B59" s="191">
        <f>'Données projet'!D67</f>
        <v>88</v>
      </c>
      <c r="C59" s="204">
        <v>30</v>
      </c>
      <c r="D59" s="189">
        <f t="shared" si="4"/>
        <v>2640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70</v>
      </c>
      <c r="B60" s="191">
        <f>'Données projet'!D68</f>
        <v>78</v>
      </c>
      <c r="C60" s="202">
        <v>35</v>
      </c>
      <c r="D60" s="189">
        <f t="shared" si="4"/>
        <v>2730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80</v>
      </c>
      <c r="B61" s="191">
        <f>'Données projet'!D69</f>
        <v>460</v>
      </c>
      <c r="C61" s="202">
        <v>45</v>
      </c>
      <c r="D61" s="189">
        <f t="shared" si="4"/>
        <v>20700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Aulne glutineux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15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20</v>
      </c>
      <c r="B87" s="191">
        <f>'Données projet'!D90</f>
        <v>13</v>
      </c>
      <c r="C87" s="202">
        <v>10</v>
      </c>
      <c r="D87" s="189">
        <f t="shared" si="6"/>
        <v>130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25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30</v>
      </c>
      <c r="B89" s="191">
        <f>'Données projet'!D92</f>
        <v>38</v>
      </c>
      <c r="C89" s="202">
        <v>10</v>
      </c>
      <c r="D89" s="189">
        <f t="shared" si="6"/>
        <v>380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35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40</v>
      </c>
      <c r="B91" s="191">
        <f>'Données projet'!D94</f>
        <v>43</v>
      </c>
      <c r="C91" s="202">
        <v>15</v>
      </c>
      <c r="D91" s="189">
        <f t="shared" si="6"/>
        <v>645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45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50</v>
      </c>
      <c r="B93" s="191">
        <f>'Données projet'!D96</f>
        <v>43</v>
      </c>
      <c r="C93" s="202">
        <v>20</v>
      </c>
      <c r="D93" s="189">
        <f t="shared" si="6"/>
        <v>860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55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60</v>
      </c>
      <c r="B95" s="191">
        <f>'Données projet'!D98</f>
        <v>39</v>
      </c>
      <c r="C95" s="202">
        <v>25</v>
      </c>
      <c r="D95" s="189">
        <f t="shared" si="6"/>
        <v>975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65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70</v>
      </c>
      <c r="B97" s="191">
        <f>'Données projet'!D100</f>
        <v>35</v>
      </c>
      <c r="C97" s="202">
        <v>25</v>
      </c>
      <c r="D97" s="189">
        <f t="shared" si="6"/>
        <v>875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75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80</v>
      </c>
      <c r="B99" s="191">
        <f>'Données projet'!D102</f>
        <v>31</v>
      </c>
      <c r="C99" s="202">
        <v>30</v>
      </c>
      <c r="D99" s="189">
        <f t="shared" si="6"/>
        <v>930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85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90</v>
      </c>
      <c r="B101" s="191">
        <f>'Données projet'!D104</f>
        <v>231</v>
      </c>
      <c r="C101" s="202">
        <v>30</v>
      </c>
      <c r="D101" s="189">
        <f t="shared" si="6"/>
        <v>6930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Aulne à feuilles en cœur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15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20</v>
      </c>
      <c r="B118" s="191">
        <f>'Données projet'!D116</f>
        <v>13</v>
      </c>
      <c r="C118" s="202">
        <v>10</v>
      </c>
      <c r="D118" s="189">
        <f t="shared" si="8"/>
        <v>130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25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30</v>
      </c>
      <c r="B120" s="191">
        <f>'Données projet'!D118</f>
        <v>38</v>
      </c>
      <c r="C120" s="202">
        <v>10</v>
      </c>
      <c r="D120" s="189">
        <f t="shared" si="8"/>
        <v>380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35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40</v>
      </c>
      <c r="B122" s="191">
        <f>'Données projet'!D120</f>
        <v>43</v>
      </c>
      <c r="C122" s="202">
        <v>15</v>
      </c>
      <c r="D122" s="189">
        <f t="shared" si="8"/>
        <v>645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45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50</v>
      </c>
      <c r="B124" s="191">
        <f>'Données projet'!D122</f>
        <v>43</v>
      </c>
      <c r="C124" s="202">
        <v>20</v>
      </c>
      <c r="D124" s="189">
        <f t="shared" si="8"/>
        <v>860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55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60</v>
      </c>
      <c r="B126" s="191">
        <f>'Données projet'!D124</f>
        <v>39</v>
      </c>
      <c r="C126" s="202">
        <v>25</v>
      </c>
      <c r="D126" s="189">
        <f t="shared" si="8"/>
        <v>975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65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70</v>
      </c>
      <c r="B128" s="191">
        <f>'Données projet'!D126</f>
        <v>35</v>
      </c>
      <c r="C128" s="202">
        <v>25</v>
      </c>
      <c r="D128" s="189">
        <f t="shared" si="8"/>
        <v>875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75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80</v>
      </c>
      <c r="B130" s="191">
        <f>'Données projet'!D128</f>
        <v>31</v>
      </c>
      <c r="C130" s="202">
        <v>30</v>
      </c>
      <c r="D130" s="189">
        <f t="shared" si="8"/>
        <v>930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85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90</v>
      </c>
      <c r="B132" s="191">
        <f>'Données projet'!D130</f>
        <v>231</v>
      </c>
      <c r="C132" s="202">
        <v>30</v>
      </c>
      <c r="D132" s="189">
        <f t="shared" si="8"/>
        <v>6930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Rombaut- CNPF - C+FOR</cp:lastModifiedBy>
  <dcterms:created xsi:type="dcterms:W3CDTF">2021-02-01T08:22:39Z</dcterms:created>
  <dcterms:modified xsi:type="dcterms:W3CDTF">2023-08-21T12:44:23Z</dcterms:modified>
</cp:coreProperties>
</file>