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3\Saint Ambroise\"/>
    </mc:Choice>
  </mc:AlternateContent>
  <xr:revisionPtr revIDLastSave="0" documentId="13_ncr:1_{A84F97FE-7187-410A-BCB4-FD060C774181}" xr6:coauthVersionLast="47" xr6:coauthVersionMax="47" xr10:uidLastSave="{00000000-0000-0000-0000-000000000000}"/>
  <bookViews>
    <workbookView xWindow="10920" yWindow="564" windowWidth="11604" windowHeight="11988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D250" i="1" l="1"/>
  <c r="B199" i="1"/>
  <c r="D199" i="1" s="1"/>
  <c r="D198" i="1"/>
  <c r="D197" i="1"/>
  <c r="D196" i="1"/>
  <c r="D195" i="1"/>
  <c r="D194" i="1"/>
  <c r="D193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A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X156" i="2" l="1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X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Y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D163" i="2" s="1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C167" i="2"/>
  <c r="EA167" i="2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Y171" i="2"/>
  <c r="EB172" i="2"/>
  <c r="EA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FR186" i="2"/>
  <c r="EA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Y188" i="2" s="1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G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G192" i="2" l="1"/>
  <c r="HI192" i="2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DI192" i="2"/>
  <c r="EB193" i="2"/>
  <c r="EA193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G195" i="2" l="1"/>
  <c r="EY194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X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38" i="2" l="1"/>
  <c r="FJ191" i="2"/>
  <c r="FJ196" i="2"/>
  <c r="FJ156" i="2"/>
  <c r="FJ118" i="2"/>
  <c r="FJ85" i="2"/>
  <c r="FJ153" i="2"/>
  <c r="FJ183" i="2"/>
  <c r="FJ76" i="2"/>
  <c r="FJ173" i="2"/>
  <c r="FJ121" i="2"/>
  <c r="FJ100" i="2"/>
  <c r="FJ12" i="2"/>
  <c r="FJ17" i="2"/>
  <c r="FJ192" i="2"/>
  <c r="FJ95" i="2"/>
  <c r="FJ50" i="2"/>
  <c r="FJ146" i="2"/>
  <c r="FJ104" i="2"/>
  <c r="FJ47" i="2"/>
  <c r="FJ40" i="2"/>
  <c r="FJ151" i="2"/>
  <c r="FJ99" i="2"/>
  <c r="FJ25" i="2"/>
  <c r="FJ200" i="2"/>
  <c r="FJ198" i="2"/>
  <c r="FJ188" i="2"/>
  <c r="FJ171" i="2"/>
  <c r="FJ133" i="2"/>
  <c r="FJ93" i="2"/>
  <c r="FJ56" i="2"/>
  <c r="FJ149" i="2"/>
  <c r="FJ108" i="2"/>
  <c r="FJ166" i="2"/>
  <c r="FJ186" i="2"/>
  <c r="FJ131" i="2"/>
  <c r="FJ52" i="2"/>
  <c r="FJ139" i="2"/>
  <c r="FJ37" i="2"/>
  <c r="FJ34" i="2"/>
  <c r="FJ185" i="2"/>
  <c r="FJ91" i="2"/>
  <c r="FJ94" i="2"/>
  <c r="FJ178" i="2"/>
  <c r="FJ199" i="2"/>
  <c r="FJ162" i="2"/>
  <c r="FJ163" i="2"/>
  <c r="FJ6" i="2"/>
  <c r="FJ137" i="2"/>
  <c r="FJ159" i="2"/>
  <c r="FJ65" i="2"/>
  <c r="FJ112" i="2"/>
  <c r="FJ16" i="2"/>
  <c r="FJ120" i="2"/>
  <c r="FJ141" i="2"/>
  <c r="FJ8" i="2"/>
  <c r="FJ107" i="2"/>
  <c r="FJ15" i="2"/>
  <c r="FJ5" i="2"/>
  <c r="FJ130" i="2"/>
  <c r="FJ175" i="2"/>
  <c r="FJ42" i="2"/>
  <c r="FJ177" i="2"/>
  <c r="FJ109" i="2"/>
  <c r="FJ111" i="2"/>
  <c r="FJ70" i="2"/>
  <c r="FJ27" i="2"/>
  <c r="FJ28" i="2"/>
  <c r="FJ54" i="2"/>
  <c r="FJ190" i="2"/>
  <c r="FJ176" i="2"/>
  <c r="FJ122" i="2"/>
  <c r="FJ128" i="2"/>
  <c r="FJ123" i="2"/>
  <c r="FJ165" i="2"/>
  <c r="FJ202" i="2"/>
  <c r="FJ203" i="2"/>
  <c r="FJ23" i="2"/>
  <c r="FJ33" i="2"/>
  <c r="FJ4" i="2"/>
  <c r="FJ63" i="2"/>
  <c r="FJ136" i="2"/>
  <c r="FJ152" i="2"/>
  <c r="FJ67" i="2"/>
  <c r="FJ39" i="2"/>
  <c r="FJ92" i="2"/>
  <c r="FJ75" i="2"/>
  <c r="FJ26" i="2"/>
  <c r="FJ157" i="2"/>
  <c r="FJ184" i="2"/>
  <c r="FJ155" i="2"/>
  <c r="FJ194" i="2"/>
  <c r="FJ88" i="2"/>
  <c r="FJ97" i="2"/>
  <c r="FJ132" i="2"/>
  <c r="FJ22" i="2"/>
  <c r="FJ187" i="2"/>
  <c r="FJ7" i="2"/>
  <c r="FJ172" i="2"/>
  <c r="FJ41" i="2"/>
  <c r="FJ167" i="2"/>
  <c r="FJ18" i="2"/>
  <c r="GZ38" i="2"/>
  <c r="GZ18" i="2"/>
  <c r="GZ36" i="2"/>
  <c r="GZ187" i="2"/>
  <c r="GZ24" i="2"/>
  <c r="GZ56" i="2"/>
  <c r="GZ85" i="2"/>
  <c r="GZ110" i="2"/>
  <c r="GZ71" i="2"/>
  <c r="GZ202" i="2"/>
  <c r="GZ126" i="2"/>
  <c r="GZ97" i="2"/>
  <c r="GZ130" i="2"/>
  <c r="GZ201" i="2"/>
  <c r="GZ77" i="2"/>
  <c r="GZ168" i="2"/>
  <c r="GZ122" i="2"/>
  <c r="GZ197" i="2"/>
  <c r="GZ89" i="2"/>
  <c r="GZ13" i="2"/>
  <c r="GZ175" i="2"/>
  <c r="GZ165" i="2"/>
  <c r="GZ124" i="2"/>
  <c r="GZ157" i="2"/>
  <c r="GZ128" i="2"/>
  <c r="GZ44" i="2"/>
  <c r="GZ78" i="2"/>
  <c r="GZ169" i="2"/>
  <c r="GZ45" i="2"/>
  <c r="GZ198" i="2"/>
  <c r="GZ90" i="2"/>
  <c r="GZ131" i="2"/>
  <c r="GZ173" i="2"/>
  <c r="GZ7" i="2"/>
  <c r="GZ87" i="2"/>
  <c r="GZ67" i="2"/>
  <c r="GZ145" i="2"/>
  <c r="GZ105" i="2"/>
  <c r="GZ60" i="2"/>
  <c r="GZ93" i="2"/>
  <c r="GZ138" i="2"/>
  <c r="GZ191" i="2"/>
  <c r="GZ147" i="2"/>
  <c r="GZ29" i="2"/>
  <c r="GZ120" i="2"/>
  <c r="GZ163" i="2"/>
  <c r="GZ183" i="2"/>
  <c r="GZ154" i="2"/>
  <c r="GZ203" i="2"/>
  <c r="GZ95" i="2"/>
  <c r="GZ136" i="2"/>
  <c r="GZ91" i="2"/>
  <c r="GZ179" i="2"/>
  <c r="GZ200" i="2"/>
  <c r="GZ76" i="2"/>
  <c r="GZ159" i="2"/>
  <c r="GZ121" i="2"/>
  <c r="GZ196" i="2"/>
  <c r="GZ48" i="2"/>
  <c r="GZ172" i="2"/>
  <c r="GZ31" i="2"/>
  <c r="GZ164" i="2"/>
  <c r="GZ143" i="2"/>
  <c r="GZ52" i="2"/>
  <c r="GZ150" i="2"/>
  <c r="GZ155" i="2"/>
  <c r="GZ62" i="2"/>
  <c r="GZ17" i="2"/>
  <c r="GZ51" i="2"/>
  <c r="GZ190" i="2"/>
  <c r="GZ82" i="2"/>
  <c r="GZ28" i="2"/>
  <c r="GZ111" i="2"/>
  <c r="GZ160" i="2"/>
  <c r="GZ193" i="2"/>
  <c r="GZ148" i="2"/>
  <c r="GZ66" i="2"/>
  <c r="GZ156" i="2"/>
  <c r="GZ108" i="2"/>
  <c r="GZ39" i="2"/>
  <c r="GZ80" i="2"/>
  <c r="GZ75" i="2"/>
  <c r="GZ101" i="2"/>
  <c r="GZ21" i="2"/>
  <c r="GZ112" i="2"/>
  <c r="GZ8" i="2"/>
  <c r="GZ141" i="2"/>
  <c r="GZ33" i="2"/>
  <c r="GZ125" i="2"/>
  <c r="GZ96" i="2"/>
  <c r="GZ129" i="2"/>
  <c r="GZ152" i="2"/>
  <c r="GZ70" i="2"/>
  <c r="GZ41" i="2"/>
  <c r="GZ94" i="2"/>
  <c r="GZ22" i="2"/>
  <c r="GZ113" i="2"/>
  <c r="GZ188" i="2"/>
  <c r="GZ142" i="2"/>
  <c r="GZ34" i="2"/>
  <c r="GZ109" i="2"/>
  <c r="GZ192" i="2"/>
  <c r="GZ72" i="2"/>
  <c r="GZ114" i="2"/>
  <c r="GZ171" i="2"/>
  <c r="GZ11" i="2"/>
  <c r="GZ162" i="2"/>
  <c r="GZ42" i="2"/>
  <c r="GZ182" i="2"/>
  <c r="GZ139" i="2"/>
  <c r="GZ6" i="2"/>
  <c r="GZ194" i="2"/>
  <c r="GZ135" i="2"/>
  <c r="GZ195" i="2"/>
  <c r="GZ102" i="2"/>
  <c r="GZ64" i="2"/>
  <c r="GZ35" i="2"/>
  <c r="GZ104" i="2"/>
  <c r="GZ137" i="2"/>
  <c r="GZ92" i="2"/>
  <c r="GZ30" i="2"/>
  <c r="GZ49" i="2"/>
  <c r="GZ4" i="2"/>
  <c r="GZ107" i="2"/>
  <c r="GZ144" i="2"/>
  <c r="GZ20" i="2"/>
  <c r="GZ103" i="2"/>
  <c r="GZ65" i="2"/>
  <c r="GZ140" i="2"/>
  <c r="GZ32" i="2"/>
  <c r="GZ127" i="2"/>
  <c r="GZ98" i="2"/>
  <c r="GZ23" i="2"/>
  <c r="GZ106" i="2"/>
  <c r="GZ185" i="2"/>
  <c r="GZ180" i="2"/>
  <c r="GZ14" i="2"/>
  <c r="GZ184" i="2"/>
  <c r="GZ74" i="2"/>
  <c r="GZ58" i="2"/>
  <c r="GZ133" i="2"/>
  <c r="GZ25" i="2"/>
  <c r="GZ178" i="2"/>
  <c r="GZ54" i="2"/>
  <c r="GZ83" i="2"/>
  <c r="GZ100" i="2"/>
  <c r="GZ63" i="2"/>
  <c r="GZ115" i="2"/>
  <c r="GZ12" i="2"/>
  <c r="GZ174" i="2"/>
  <c r="GZ16" i="2"/>
  <c r="GZ123" i="2"/>
  <c r="GZ134" i="2"/>
  <c r="GZ26" i="2"/>
  <c r="GZ99" i="2"/>
  <c r="GZ55" i="2"/>
  <c r="GZ146" i="2"/>
  <c r="GZ61" i="2"/>
  <c r="GZ68" i="2"/>
  <c r="GZ151" i="2"/>
  <c r="GZ189" i="2"/>
  <c r="GZ176" i="2"/>
  <c r="GZ117" i="2"/>
  <c r="GZ19" i="2"/>
  <c r="GZ153" i="2"/>
  <c r="GZ186" i="2"/>
  <c r="GZ81" i="2"/>
  <c r="GZ57" i="2"/>
  <c r="GZ132" i="2"/>
  <c r="GZ86" i="2"/>
  <c r="GZ177" i="2"/>
  <c r="GZ53" i="2"/>
  <c r="GZ69" i="2"/>
  <c r="GZ40" i="2"/>
  <c r="GZ73" i="2"/>
  <c r="GZ181" i="2"/>
  <c r="GZ119" i="2"/>
  <c r="GZ10" i="2"/>
  <c r="GZ43" i="2"/>
  <c r="GZ118" i="2"/>
  <c r="GZ37" i="2"/>
  <c r="GZ79" i="2"/>
  <c r="GZ170" i="2"/>
  <c r="GZ46" i="2"/>
  <c r="GZ199" i="2"/>
  <c r="GZ27" i="2"/>
  <c r="GZ166" i="2"/>
  <c r="GZ50" i="2"/>
  <c r="GZ5" i="2"/>
  <c r="GZ88" i="2"/>
  <c r="GZ161" i="2"/>
  <c r="GZ116" i="2"/>
  <c r="GZ149" i="2"/>
  <c r="GZ158" i="2"/>
  <c r="GZ59" i="2"/>
  <c r="GZ47" i="2"/>
  <c r="GZ9" i="2"/>
  <c r="GZ84" i="2"/>
  <c r="GZ167" i="2"/>
  <c r="GZ15" i="2"/>
  <c r="GZ3" i="2"/>
  <c r="C15" i="4" s="1"/>
  <c r="E15" i="4" s="1"/>
  <c r="F15" i="4" s="1"/>
  <c r="G15" i="4" s="1"/>
  <c r="L15" i="4" s="1"/>
  <c r="GE11" i="2"/>
  <c r="GE9" i="2"/>
  <c r="GE39" i="2"/>
  <c r="GE22" i="2"/>
  <c r="GE179" i="2"/>
  <c r="GE101" i="2"/>
  <c r="GE118" i="2"/>
  <c r="GE168" i="2"/>
  <c r="GE27" i="2"/>
  <c r="GE79" i="2"/>
  <c r="GE132" i="2"/>
  <c r="GE76" i="2"/>
  <c r="GE170" i="2"/>
  <c r="GE139" i="2"/>
  <c r="GE151" i="2"/>
  <c r="GE3" i="2"/>
  <c r="C14" i="4" s="1"/>
  <c r="E14" i="4" s="1"/>
  <c r="F14" i="4" s="1"/>
  <c r="G14" i="4" s="1"/>
  <c r="L14" i="4" s="1"/>
  <c r="GE188" i="2"/>
  <c r="GE82" i="2"/>
  <c r="GE123" i="2"/>
  <c r="GE24" i="2"/>
  <c r="GE126" i="2"/>
  <c r="GE72" i="2"/>
  <c r="GE33" i="2"/>
  <c r="GE45" i="2"/>
  <c r="GE32" i="2"/>
  <c r="GE96" i="2"/>
  <c r="GE198" i="2"/>
  <c r="GE192" i="2"/>
  <c r="GE87" i="2"/>
  <c r="GE171" i="2"/>
  <c r="GE77" i="2"/>
  <c r="GE178" i="2"/>
  <c r="GE115" i="2"/>
  <c r="GE143" i="2"/>
  <c r="GE98" i="2"/>
  <c r="GE37" i="2"/>
  <c r="GE26" i="2"/>
  <c r="GE133" i="2"/>
  <c r="GE5" i="2"/>
  <c r="GE156" i="2"/>
  <c r="GE83" i="2"/>
  <c r="GE173" i="2"/>
  <c r="GE35" i="2"/>
  <c r="GE68" i="2"/>
  <c r="GE69" i="2"/>
  <c r="GE18" i="2"/>
  <c r="GE52" i="2"/>
  <c r="GE100" i="2"/>
  <c r="GE88" i="2"/>
  <c r="GE95" i="2"/>
  <c r="GE104" i="2"/>
  <c r="GE92" i="2"/>
  <c r="GE185" i="2"/>
  <c r="GE62" i="2"/>
  <c r="GE127" i="2"/>
  <c r="GE160" i="2"/>
  <c r="GE93" i="2"/>
  <c r="GE201" i="2"/>
  <c r="GE152" i="2"/>
  <c r="GE122" i="2"/>
  <c r="GE180" i="2"/>
  <c r="GE21" i="2"/>
  <c r="GE20" i="2"/>
  <c r="GE121" i="2"/>
  <c r="GE75" i="2"/>
  <c r="GE4" i="2"/>
  <c r="GE112" i="2"/>
  <c r="GE19" i="2"/>
  <c r="GE183" i="2"/>
  <c r="GE165" i="2"/>
  <c r="GE154" i="2"/>
  <c r="GE8" i="2"/>
  <c r="GE162" i="2"/>
  <c r="GE6" i="2"/>
  <c r="GE57" i="2"/>
  <c r="GE55" i="2"/>
  <c r="GE124" i="2"/>
  <c r="GE73" i="2"/>
  <c r="GE128" i="2"/>
  <c r="GE138" i="2"/>
  <c r="GE46" i="2"/>
  <c r="GE59" i="2"/>
  <c r="GE158" i="2"/>
  <c r="GE16" i="2"/>
  <c r="GE120" i="2"/>
  <c r="GE14" i="2"/>
  <c r="GE147" i="2"/>
  <c r="GE149" i="2"/>
  <c r="GE43" i="2"/>
  <c r="GE187" i="2"/>
  <c r="GE17" i="2"/>
  <c r="GE13" i="2"/>
  <c r="GE203" i="2"/>
  <c r="GE182" i="2"/>
  <c r="GE186" i="2"/>
  <c r="GE78" i="2"/>
  <c r="GE31" i="2"/>
  <c r="GE50" i="2"/>
  <c r="GE200" i="2"/>
  <c r="GE184" i="2"/>
  <c r="GE99" i="2"/>
  <c r="GE44" i="2"/>
  <c r="GE142" i="2"/>
  <c r="GE110" i="2"/>
  <c r="GE175" i="2"/>
  <c r="GE36" i="2"/>
  <c r="GE106" i="2"/>
  <c r="GE191" i="2"/>
  <c r="GE134" i="2"/>
  <c r="GE10" i="2"/>
  <c r="GE15" i="2"/>
  <c r="GE119" i="2"/>
  <c r="GE131" i="2"/>
  <c r="GE58" i="2"/>
  <c r="GE71" i="2"/>
  <c r="GE23" i="2"/>
  <c r="GE148" i="2"/>
  <c r="GE197" i="2"/>
  <c r="GE25" i="2"/>
  <c r="GE166" i="2"/>
  <c r="GE167" i="2"/>
  <c r="GE164" i="2"/>
  <c r="GE85" i="2"/>
  <c r="GE105" i="2"/>
  <c r="GE111" i="2"/>
  <c r="GE66" i="2"/>
  <c r="GE61" i="2"/>
  <c r="GE103" i="2"/>
  <c r="GE86" i="2"/>
  <c r="GE189" i="2"/>
  <c r="GE169" i="2"/>
  <c r="GE161" i="2"/>
  <c r="GE89" i="2"/>
  <c r="GE116" i="2"/>
  <c r="GE113" i="2"/>
  <c r="GE181" i="2"/>
  <c r="GE153" i="2"/>
  <c r="GE90" i="2"/>
  <c r="GE129" i="2"/>
  <c r="GE174" i="2"/>
  <c r="GE34" i="2"/>
  <c r="GE196" i="2"/>
  <c r="GE193" i="2"/>
  <c r="GE146" i="2"/>
  <c r="GE155" i="2"/>
  <c r="GE159" i="2"/>
  <c r="GE54" i="2"/>
  <c r="GE137" i="2"/>
  <c r="GE135" i="2"/>
  <c r="GE94" i="2"/>
  <c r="GE107" i="2"/>
  <c r="GE109" i="2"/>
  <c r="GE47" i="2"/>
  <c r="GE195" i="2"/>
  <c r="GE190" i="2"/>
  <c r="GE7" i="2"/>
  <c r="GE12" i="2"/>
  <c r="GE29" i="2"/>
  <c r="GE49" i="2"/>
  <c r="GE150" i="2"/>
  <c r="GE202" i="2"/>
  <c r="GE56" i="2"/>
  <c r="GE70" i="2"/>
  <c r="GE38" i="2"/>
  <c r="GE63" i="2"/>
  <c r="GE102" i="2"/>
  <c r="GE199" i="2"/>
  <c r="GE177" i="2"/>
  <c r="GE67" i="2"/>
  <c r="GE136" i="2"/>
  <c r="GE81" i="2"/>
  <c r="GE84" i="2"/>
  <c r="GE28" i="2"/>
  <c r="GE30" i="2"/>
  <c r="GE97" i="2"/>
  <c r="GE41" i="2"/>
  <c r="GE40" i="2"/>
  <c r="GE117" i="2"/>
  <c r="GE176" i="2"/>
  <c r="GE51" i="2"/>
  <c r="GE144" i="2"/>
  <c r="GE114" i="2"/>
  <c r="GE145" i="2"/>
  <c r="GE157" i="2"/>
  <c r="GE65" i="2"/>
  <c r="GE48" i="2"/>
  <c r="GE141" i="2"/>
  <c r="GE42" i="2"/>
  <c r="GE64" i="2"/>
  <c r="GE194" i="2"/>
  <c r="GE163" i="2"/>
  <c r="GE91" i="2"/>
  <c r="GE108" i="2"/>
  <c r="GE74" i="2"/>
  <c r="GE172" i="2"/>
  <c r="GE53" i="2"/>
  <c r="GE80" i="2"/>
  <c r="GE60" i="2"/>
  <c r="GE130" i="2"/>
  <c r="GE125" i="2"/>
  <c r="GE140" i="2"/>
  <c r="FJ105" i="2"/>
  <c r="FJ116" i="2"/>
  <c r="FJ9" i="2"/>
  <c r="FJ115" i="2"/>
  <c r="FJ90" i="2"/>
  <c r="FJ20" i="2"/>
  <c r="FJ197" i="2"/>
  <c r="FJ21" i="2"/>
  <c r="FJ124" i="2"/>
  <c r="FJ81" i="2"/>
  <c r="FJ57" i="2"/>
  <c r="FJ73" i="2"/>
  <c r="FJ189" i="2"/>
  <c r="FJ201" i="2"/>
  <c r="FJ119" i="2"/>
  <c r="FJ140" i="2"/>
  <c r="FJ45" i="2"/>
  <c r="FJ138" i="2"/>
  <c r="FJ103" i="2"/>
  <c r="FJ84" i="2"/>
  <c r="FJ154" i="2"/>
  <c r="FJ89" i="2"/>
  <c r="FJ43" i="2"/>
  <c r="FJ59" i="2"/>
  <c r="FJ193" i="2"/>
  <c r="FJ61" i="2"/>
  <c r="FJ82" i="2"/>
  <c r="FJ181" i="2"/>
  <c r="FJ98" i="2"/>
  <c r="FJ51" i="2"/>
  <c r="FJ58" i="2"/>
  <c r="FJ64" i="2"/>
  <c r="FJ24" i="2"/>
  <c r="FJ148" i="2"/>
  <c r="FJ36" i="2"/>
  <c r="FJ30" i="2"/>
  <c r="FJ125" i="2"/>
  <c r="FJ127" i="2"/>
  <c r="FJ134" i="2"/>
  <c r="FJ106" i="2"/>
  <c r="FJ147" i="2"/>
  <c r="FJ150" i="2"/>
  <c r="FJ142" i="2"/>
  <c r="FJ101" i="2"/>
  <c r="FJ49" i="2"/>
  <c r="FJ114" i="2"/>
  <c r="FJ129" i="2"/>
  <c r="FJ14" i="2"/>
  <c r="FJ44" i="2"/>
  <c r="FJ10" i="2"/>
  <c r="FJ35" i="2"/>
  <c r="FJ46" i="2"/>
  <c r="FJ78" i="2"/>
  <c r="FJ31" i="2"/>
  <c r="FJ48" i="2"/>
  <c r="FJ168" i="2"/>
  <c r="FJ19" i="2"/>
  <c r="FJ11" i="2"/>
  <c r="FJ164" i="2"/>
  <c r="FJ179" i="2"/>
  <c r="FJ86" i="2"/>
  <c r="FJ110" i="2"/>
  <c r="FJ145" i="2"/>
  <c r="FJ143" i="2"/>
  <c r="FJ62" i="2"/>
  <c r="FJ66" i="2"/>
  <c r="FJ83" i="2"/>
  <c r="FJ174" i="2"/>
  <c r="FJ126" i="2"/>
  <c r="FJ160" i="2"/>
  <c r="FJ161" i="2"/>
  <c r="FJ169" i="2"/>
  <c r="FJ74" i="2"/>
  <c r="FJ55" i="2"/>
  <c r="FJ3" i="2"/>
  <c r="C13" i="4" s="1"/>
  <c r="E13" i="4" s="1"/>
  <c r="F13" i="4" s="1"/>
  <c r="G13" i="4" s="1"/>
  <c r="L13" i="4" s="1"/>
  <c r="FJ87" i="2"/>
  <c r="FJ170" i="2"/>
  <c r="FJ158" i="2"/>
  <c r="FJ72" i="2"/>
  <c r="FJ117" i="2"/>
  <c r="FJ102" i="2"/>
  <c r="FJ53" i="2"/>
  <c r="FJ79" i="2"/>
  <c r="FJ96" i="2"/>
  <c r="FJ69" i="2"/>
  <c r="FJ68" i="2"/>
  <c r="FJ60" i="2"/>
  <c r="FJ80" i="2"/>
  <c r="FJ144" i="2"/>
  <c r="FJ29" i="2"/>
  <c r="FJ195" i="2"/>
  <c r="FJ182" i="2"/>
  <c r="FJ71" i="2"/>
  <c r="FJ135" i="2"/>
  <c r="FJ180" i="2"/>
  <c r="FJ32" i="2"/>
  <c r="FJ13" i="2"/>
  <c r="FJ113" i="2"/>
  <c r="FJ77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60" i="2" l="1"/>
  <c r="CD112" i="2"/>
  <c r="CD56" i="2"/>
  <c r="CD126" i="2"/>
  <c r="CD163" i="2"/>
  <c r="CD77" i="2"/>
  <c r="CD198" i="2"/>
  <c r="CD169" i="2"/>
  <c r="CD12" i="2"/>
  <c r="CD179" i="2"/>
  <c r="CD98" i="2"/>
  <c r="CD25" i="2"/>
  <c r="CD96" i="2"/>
  <c r="CD119" i="2"/>
  <c r="CD70" i="2"/>
  <c r="CD105" i="2"/>
  <c r="CD176" i="2"/>
  <c r="CD54" i="2"/>
  <c r="CD153" i="2"/>
  <c r="CD73" i="2"/>
  <c r="CD113" i="2"/>
  <c r="CD137" i="2"/>
  <c r="CD108" i="2"/>
  <c r="CD120" i="2"/>
  <c r="CD50" i="2"/>
  <c r="CD46" i="2"/>
  <c r="CD121" i="2"/>
  <c r="CD33" i="2"/>
  <c r="CD23" i="2"/>
  <c r="CD35" i="2"/>
  <c r="CD173" i="2"/>
  <c r="CD30" i="2"/>
  <c r="CD192" i="2"/>
  <c r="CD55" i="2"/>
  <c r="CD89" i="2"/>
  <c r="CD10" i="2"/>
  <c r="CD4" i="2"/>
  <c r="CD145" i="2"/>
  <c r="CD150" i="2"/>
  <c r="CD106" i="2"/>
  <c r="CD139" i="2"/>
  <c r="CD196" i="2"/>
  <c r="CD131" i="2"/>
  <c r="CD5" i="2"/>
  <c r="CD75" i="2"/>
  <c r="CD174" i="2"/>
  <c r="CD130" i="2"/>
  <c r="CD81" i="2"/>
  <c r="CD17" i="2"/>
  <c r="CD181" i="2"/>
  <c r="CD7" i="2"/>
  <c r="CD34" i="2"/>
  <c r="CD151" i="2"/>
  <c r="CD31" i="2"/>
  <c r="CD180" i="2"/>
  <c r="CD13" i="2"/>
  <c r="CD37" i="2"/>
  <c r="CD68" i="2"/>
  <c r="CD20" i="2"/>
  <c r="CD94" i="2"/>
  <c r="CD76" i="2"/>
  <c r="CD52" i="2"/>
  <c r="CD170" i="2"/>
  <c r="CD184" i="2"/>
  <c r="CD99" i="2"/>
  <c r="CD45" i="2"/>
  <c r="CD103" i="2"/>
  <c r="CD160" i="2"/>
  <c r="CD124" i="2"/>
  <c r="CD57" i="2"/>
  <c r="CD51" i="2"/>
  <c r="CD74" i="2"/>
  <c r="CD93" i="2"/>
  <c r="CD83" i="2"/>
  <c r="CD134" i="2"/>
  <c r="CD141" i="2"/>
  <c r="CD62" i="2"/>
  <c r="CD162" i="2"/>
  <c r="CD165" i="2"/>
  <c r="CD63" i="2"/>
  <c r="CD158" i="2"/>
  <c r="CD86" i="2"/>
  <c r="CD122" i="2"/>
  <c r="CD133" i="2"/>
  <c r="CD11" i="2"/>
  <c r="CD91" i="2"/>
  <c r="CD90" i="2"/>
  <c r="CD115" i="2"/>
  <c r="CD159" i="2"/>
  <c r="CD200" i="2"/>
  <c r="CD114" i="2"/>
  <c r="CD92" i="2"/>
  <c r="CD82" i="2"/>
  <c r="CD127" i="2"/>
  <c r="CD149" i="2"/>
  <c r="CD128" i="2"/>
  <c r="CD32" i="2"/>
  <c r="CD116" i="2"/>
  <c r="CD140" i="2"/>
  <c r="CD84" i="2"/>
  <c r="CD3" i="2"/>
  <c r="C9" i="4" s="1"/>
  <c r="E9" i="4" s="1"/>
  <c r="F9" i="4" s="1"/>
  <c r="G9" i="4" s="1"/>
  <c r="L9" i="4" s="1"/>
  <c r="CD87" i="2"/>
  <c r="CD118" i="2"/>
  <c r="CD29" i="2"/>
  <c r="CD189" i="2"/>
  <c r="CD104" i="2"/>
  <c r="CD67" i="2"/>
  <c r="CD188" i="2"/>
  <c r="CD6" i="2"/>
  <c r="CD38" i="2"/>
  <c r="CD190" i="2"/>
  <c r="CD191" i="2"/>
  <c r="CD155" i="2"/>
  <c r="CD9" i="2"/>
  <c r="CD171" i="2"/>
  <c r="CD172" i="2"/>
  <c r="CD24" i="2"/>
  <c r="CD53" i="2"/>
  <c r="CD8" i="2"/>
  <c r="CD64" i="2"/>
  <c r="CD100" i="2"/>
  <c r="CD182" i="2"/>
  <c r="CD143" i="2"/>
  <c r="CD28" i="2"/>
  <c r="CD19" i="2"/>
  <c r="CD65" i="2"/>
  <c r="CD152" i="2"/>
  <c r="CD71" i="2"/>
  <c r="CD58" i="2"/>
  <c r="CD183" i="2"/>
  <c r="CD42" i="2"/>
  <c r="CD167" i="2"/>
  <c r="CD22" i="2"/>
  <c r="CD85" i="2"/>
  <c r="CD123" i="2"/>
  <c r="CD157" i="2"/>
  <c r="CD41" i="2"/>
  <c r="CD132" i="2"/>
  <c r="CD40" i="2"/>
  <c r="CD202" i="2"/>
  <c r="CD27" i="2"/>
  <c r="CD66" i="2"/>
  <c r="CD193" i="2"/>
  <c r="CD203" i="2"/>
  <c r="CD111" i="2"/>
  <c r="CD144" i="2"/>
  <c r="CD49" i="2"/>
  <c r="CD97" i="2"/>
  <c r="CD154" i="2"/>
  <c r="CD164" i="2"/>
  <c r="CD61" i="2"/>
  <c r="CD44" i="2"/>
  <c r="CD186" i="2"/>
  <c r="CD201" i="2"/>
  <c r="CD72" i="2"/>
  <c r="CD117" i="2"/>
  <c r="CD156" i="2"/>
  <c r="CD185" i="2"/>
  <c r="CD135" i="2"/>
  <c r="CD16" i="2"/>
  <c r="CD195" i="2"/>
  <c r="CD102" i="2"/>
  <c r="CD161" i="2"/>
  <c r="CD39" i="2"/>
  <c r="CD125" i="2"/>
  <c r="CD59" i="2"/>
  <c r="CD47" i="2"/>
  <c r="CD48" i="2"/>
  <c r="CD78" i="2"/>
  <c r="CD166" i="2"/>
  <c r="CD177" i="2"/>
  <c r="CD15" i="2"/>
  <c r="CD110" i="2"/>
  <c r="CD43" i="2"/>
  <c r="CD107" i="2"/>
  <c r="CD18" i="2"/>
  <c r="CD197" i="2"/>
  <c r="CD21" i="2"/>
  <c r="CD187" i="2"/>
  <c r="CD36" i="2"/>
  <c r="CD69" i="2"/>
  <c r="CD95" i="2"/>
  <c r="CD109" i="2"/>
  <c r="CD26" i="2"/>
  <c r="CD175" i="2"/>
  <c r="CD148" i="2"/>
  <c r="CD138" i="2"/>
  <c r="CD194" i="2"/>
  <c r="CD136" i="2"/>
  <c r="CD14" i="2"/>
  <c r="CD199" i="2"/>
  <c r="CD147" i="2"/>
  <c r="CD168" i="2"/>
  <c r="CD142" i="2"/>
  <c r="CD178" i="2"/>
  <c r="CD101" i="2"/>
  <c r="CD146" i="2"/>
  <c r="CD80" i="2"/>
  <c r="CD79" i="2"/>
  <c r="CD88" i="2"/>
  <c r="CD12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<sst xmlns="http://schemas.openxmlformats.org/spreadsheetml/2006/main" count="1179" uniqueCount="324">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</sst>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9" fontId="9" fillId="14" borderId="1" xfId="1" applyFont="1" applyFill="1" applyBorder="1" applyAlignment="1" applyProtection="1">
      <alignment horizontal="center" vertical="center"/>
      <protection locked="0"/>
    </xf>
    <xf numFmtId="9" fontId="9" fillId="14" borderId="1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2.5419361243387457</c:v>
                </c:pt>
                <c:pt idx="2">
                  <c:v>3.1655725638916965</c:v>
                </c:pt>
                <c:pt idx="3">
                  <c:v>3.9428035750244419</c:v>
                </c:pt>
                <c:pt idx="4">
                  <c:v>4.9115952921971058</c:v>
                </c:pt>
                <c:pt idx="5">
                  <c:v>6.1193302965732146</c:v>
                </c:pt>
                <c:pt idx="6">
                  <c:v>7.6251504406534805</c:v>
                </c:pt>
                <c:pt idx="7">
                  <c:v>9.5028842563757507</c:v>
                </c:pt>
                <c:pt idx="8">
                  <c:v>11.844705198464125</c:v>
                </c:pt>
                <c:pt idx="9">
                  <c:v>14.765703652419754</c:v>
                </c:pt>
                <c:pt idx="10">
                  <c:v>18.409601532395097</c:v>
                </c:pt>
                <c:pt idx="11">
                  <c:v>22.955895729680325</c:v>
                </c:pt>
                <c:pt idx="12">
                  <c:v>28.628788554676579</c:v>
                </c:pt>
                <c:pt idx="13">
                  <c:v>35.708353284652667</c:v>
                </c:pt>
                <c:pt idx="14">
                  <c:v>44.544495545902528</c:v>
                </c:pt>
                <c:pt idx="15">
                  <c:v>55.574412233109683</c:v>
                </c:pt>
                <c:pt idx="16">
                  <c:v>69.344426154250357</c:v>
                </c:pt>
                <c:pt idx="17">
                  <c:v>86.537295547085179</c:v>
                </c:pt>
                <c:pt idx="18">
                  <c:v>108.00637426873294</c:v>
                </c:pt>
                <c:pt idx="19">
                  <c:v>134.81834487636456</c:v>
                </c:pt>
                <c:pt idx="20">
                  <c:v>168.30668061428091</c:v>
                </c:pt>
                <c:pt idx="21">
                  <c:v>114.89636998864779</c:v>
                </c:pt>
                <c:pt idx="22">
                  <c:v>136.11149105418758</c:v>
                </c:pt>
                <c:pt idx="23">
                  <c:v>157.24688373565013</c:v>
                </c:pt>
                <c:pt idx="24">
                  <c:v>178.31479007290764</c:v>
                </c:pt>
                <c:pt idx="25">
                  <c:v>199.32431229219446</c:v>
                </c:pt>
                <c:pt idx="26">
                  <c:v>220.28247236407125</c:v>
                </c:pt>
                <c:pt idx="27">
                  <c:v>241.19484478237635</c:v>
                </c:pt>
                <c:pt idx="28">
                  <c:v>262.06595742232184</c:v>
                </c:pt>
                <c:pt idx="29">
                  <c:v>282.89955759178861</c:v>
                </c:pt>
                <c:pt idx="30">
                  <c:v>303.69879541443913</c:v>
                </c:pt>
                <c:pt idx="31">
                  <c:v>225.42891467822554</c:v>
                </c:pt>
                <c:pt idx="32">
                  <c:v>242.90708874646216</c:v>
                </c:pt>
                <c:pt idx="33">
                  <c:v>260.35666841385739</c:v>
                </c:pt>
                <c:pt idx="34">
                  <c:v>277.77983970169777</c:v>
                </c:pt>
                <c:pt idx="35">
                  <c:v>295.17849192957436</c:v>
                </c:pt>
                <c:pt idx="36">
                  <c:v>312.55427347160997</c:v>
                </c:pt>
                <c:pt idx="37">
                  <c:v>329.90863445331962</c:v>
                </c:pt>
                <c:pt idx="38">
                  <c:v>347.24285998792817</c:v>
                </c:pt>
                <c:pt idx="39">
                  <c:v>364.55809642552708</c:v>
                </c:pt>
                <c:pt idx="40">
                  <c:v>381.85537235272409</c:v>
                </c:pt>
                <c:pt idx="41">
                  <c:v>299.78012652729893</c:v>
                </c:pt>
                <c:pt idx="42">
                  <c:v>312.89475650137177</c:v>
                </c:pt>
                <c:pt idx="43">
                  <c:v>325.9971979435436</c:v>
                </c:pt>
                <c:pt idx="44">
                  <c:v>339.08800983656238</c:v>
                </c:pt>
                <c:pt idx="45">
                  <c:v>352.16770447084946</c:v>
                </c:pt>
                <c:pt idx="46">
                  <c:v>365.23675297080734</c:v>
                </c:pt>
                <c:pt idx="47">
                  <c:v>378.29558998861233</c:v>
                </c:pt>
                <c:pt idx="48">
                  <c:v>391.34461771590031</c:v>
                </c:pt>
                <c:pt idx="49">
                  <c:v>404.38420933237239</c:v>
                </c:pt>
                <c:pt idx="50">
                  <c:v>417.41471198632871</c:v>
                </c:pt>
                <c:pt idx="51">
                  <c:v>360.82499034748571</c:v>
                </c:pt>
                <c:pt idx="52">
                  <c:v>370.32580293370683</c:v>
                </c:pt>
                <c:pt idx="53">
                  <c:v>379.82129986564109</c:v>
                </c:pt>
                <c:pt idx="54">
                  <c:v>389.31163283661289</c:v>
                </c:pt>
                <c:pt idx="55">
                  <c:v>398.79694553728024</c:v>
                </c:pt>
                <c:pt idx="56">
                  <c:v>408.27737426224047</c:v>
                </c:pt>
                <c:pt idx="57">
                  <c:v>417.7530484573353</c:v>
                </c:pt>
                <c:pt idx="58">
                  <c:v>427.22409121469786</c:v>
                </c:pt>
                <c:pt idx="59">
                  <c:v>436.69061972160131</c:v>
                </c:pt>
                <c:pt idx="60">
                  <c:v>446.15274566834916</c:v>
                </c:pt>
                <c:pt idx="61">
                  <c:v>410.81596227236088</c:v>
                </c:pt>
                <c:pt idx="62">
                  <c:v>417.7530484573353</c:v>
                </c:pt>
                <c:pt idx="63">
                  <c:v>424.68765216037281</c:v>
                </c:pt>
                <c:pt idx="64">
                  <c:v>431.61981966331041</c:v>
                </c:pt>
                <c:pt idx="65">
                  <c:v>438.54959563904839</c:v>
                </c:pt>
                <c:pt idx="66">
                  <c:v>445.477023232585</c:v>
                </c:pt>
                <c:pt idx="67">
                  <c:v>452.40214413674408</c:v>
                </c:pt>
                <c:pt idx="68">
                  <c:v>459.32499866302322</c:v>
                </c:pt>
                <c:pt idx="69">
                  <c:v>466.24562580794571</c:v>
                </c:pt>
                <c:pt idx="70">
                  <c:v>473.16406331526701</c:v>
                </c:pt>
                <c:pt idx="71">
                  <c:v>442.94286825616126</c:v>
                </c:pt>
                <c:pt idx="72">
                  <c:v>448.17978162908167</c:v>
                </c:pt>
                <c:pt idx="73">
                  <c:v>453.41538541847422</c:v>
                </c:pt>
                <c:pt idx="74">
                  <c:v>458.64969689218088</c:v>
                </c:pt>
                <c:pt idx="75">
                  <c:v>463.88273289143444</c:v>
                </c:pt>
                <c:pt idx="76">
                  <c:v>469.11450984619825</c:v>
                </c:pt>
                <c:pt idx="77">
                  <c:v>474.3450437897875</c:v>
                </c:pt>
                <c:pt idx="78">
                  <c:v>479.5743503728101</c:v>
                </c:pt>
                <c:pt idx="79">
                  <c:v>484.80244487646905</c:v>
                </c:pt>
                <c:pt idx="80">
                  <c:v>490.02934222525914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110.29146199065519</c:v>
                </c:pt>
                <c:pt idx="22">
                  <c:v>124.27700087602052</c:v>
                </c:pt>
                <c:pt idx="23">
                  <c:v>138.22430277628158</c:v>
                </c:pt>
                <c:pt idx="24">
                  <c:v>152.13777377111359</c:v>
                </c:pt>
                <c:pt idx="25">
                  <c:v>166.02094629475889</c:v>
                </c:pt>
                <c:pt idx="26">
                  <c:v>179.87671263181528</c:v>
                </c:pt>
                <c:pt idx="27">
                  <c:v>193.70748241961212</c:v>
                </c:pt>
                <c:pt idx="28">
                  <c:v>207.51529266966918</c:v>
                </c:pt>
                <c:pt idx="29">
                  <c:v>221.30188689717423</c:v>
                </c:pt>
                <c:pt idx="30">
                  <c:v>235.06877345752699</c:v>
                </c:pt>
                <c:pt idx="31">
                  <c:v>189.53880266603633</c:v>
                </c:pt>
                <c:pt idx="32">
                  <c:v>207.51529266966918</c:v>
                </c:pt>
                <c:pt idx="33">
                  <c:v>225.45581704538475</c:v>
                </c:pt>
                <c:pt idx="34">
                  <c:v>243.36364067727686</c:v>
                </c:pt>
                <c:pt idx="35">
                  <c:v>261.24150838162944</c:v>
                </c:pt>
                <c:pt idx="36">
                  <c:v>279.09175844081614</c:v>
                </c:pt>
                <c:pt idx="37">
                  <c:v>296.91640552163273</c:v>
                </c:pt>
                <c:pt idx="38">
                  <c:v>314.71720261424775</c:v>
                </c:pt>
                <c:pt idx="39">
                  <c:v>332.49568821053043</c:v>
                </c:pt>
                <c:pt idx="40">
                  <c:v>350.25322285655164</c:v>
                </c:pt>
                <c:pt idx="41">
                  <c:v>277.13386946464016</c:v>
                </c:pt>
                <c:pt idx="42">
                  <c:v>295.17849192957436</c:v>
                </c:pt>
                <c:pt idx="43">
                  <c:v>313.19851383460843</c:v>
                </c:pt>
                <c:pt idx="44">
                  <c:v>331.19554939327526</c:v>
                </c:pt>
                <c:pt idx="45">
                  <c:v>349.17102307812593</c:v>
                </c:pt>
                <c:pt idx="46">
                  <c:v>367.12620074726834</c:v>
                </c:pt>
                <c:pt idx="47">
                  <c:v>385.06221436094899</c:v>
                </c:pt>
                <c:pt idx="48">
                  <c:v>402.9800818512519</c:v>
                </c:pt>
                <c:pt idx="49">
                  <c:v>420.88072327292639</c:v>
                </c:pt>
                <c:pt idx="50">
                  <c:v>438.76497406308482</c:v>
                </c:pt>
                <c:pt idx="51">
                  <c:v>364.96396296815823</c:v>
                </c:pt>
                <c:pt idx="52">
                  <c:v>381.82213777185649</c:v>
                </c:pt>
                <c:pt idx="53">
                  <c:v>398.66413205286977</c:v>
                </c:pt>
                <c:pt idx="54">
                  <c:v>415.49072537978219</c:v>
                </c:pt>
                <c:pt idx="55">
                  <c:v>432.3026290462214</c:v>
                </c:pt>
                <c:pt idx="56">
                  <c:v>449.10049452796119</c:v>
                </c:pt>
                <c:pt idx="57">
                  <c:v>465.88492060890161</c:v>
                </c:pt>
                <c:pt idx="58">
                  <c:v>482.65645942680254</c:v>
                </c:pt>
                <c:pt idx="59">
                  <c:v>499.41562163511918</c:v>
                </c:pt>
                <c:pt idx="60">
                  <c:v>516.16288083607799</c:v>
                </c:pt>
                <c:pt idx="61">
                  <c:v>440.91863377904184</c:v>
                </c:pt>
                <c:pt idx="62">
                  <c:v>455.9880063323198</c:v>
                </c:pt>
                <c:pt idx="63">
                  <c:v>471.0467422191993</c:v>
                </c:pt>
                <c:pt idx="64">
                  <c:v>486.095229268786</c:v>
                </c:pt>
                <c:pt idx="65">
                  <c:v>501.13382934663713</c:v>
                </c:pt>
                <c:pt idx="66">
                  <c:v>516.16288083607799</c:v>
                </c:pt>
                <c:pt idx="67">
                  <c:v>531.18270081556864</c:v>
                </c:pt>
                <c:pt idx="68">
                  <c:v>546.19358697705945</c:v>
                </c:pt>
                <c:pt idx="69">
                  <c:v>561.19581932256801</c:v>
                </c:pt>
                <c:pt idx="70">
                  <c:v>576.18966166997234</c:v>
                </c:pt>
                <c:pt idx="71">
                  <c:v>499.20083687929633</c:v>
                </c:pt>
                <c:pt idx="72">
                  <c:v>512.29916163754626</c:v>
                </c:pt>
                <c:pt idx="73">
                  <c:v>525.39041594713956</c:v>
                </c:pt>
                <c:pt idx="74">
                  <c:v>538.47480076592342</c:v>
                </c:pt>
                <c:pt idx="75">
                  <c:v>551.55250649172569</c:v>
                </c:pt>
                <c:pt idx="76">
                  <c:v>564.6237137597426</c:v>
                </c:pt>
                <c:pt idx="77">
                  <c:v>577.68859416226462</c:v>
                </c:pt>
                <c:pt idx="78">
                  <c:v>590.747310899936</c:v>
                </c:pt>
                <c:pt idx="79">
                  <c:v>603.80001937245117</c:v>
                </c:pt>
                <c:pt idx="80">
                  <c:v>616.8468677155405</c:v>
                </c:pt>
                <c:pt idx="81">
                  <c:v>538.90368289481785</c:v>
                </c:pt>
                <c:pt idx="82">
                  <c:v>550.9094940154306</c:v>
                </c:pt>
                <c:pt idx="83">
                  <c:v>562.90982113451958</c:v>
                </c:pt>
                <c:pt idx="84">
                  <c:v>574.90479761309177</c:v>
                </c:pt>
                <c:pt idx="85">
                  <c:v>586.89455079472998</c:v>
                </c:pt>
                <c:pt idx="86">
                  <c:v>598.87920239708058</c:v>
                </c:pt>
                <c:pt idx="87">
                  <c:v>610.85886887038123</c:v>
                </c:pt>
                <c:pt idx="88">
                  <c:v>622.8336617264132</c:v>
                </c:pt>
                <c:pt idx="89">
                  <c:v>634.80368784084919</c:v>
                </c:pt>
                <c:pt idx="90">
                  <c:v>646.76904973162129</c:v>
                </c:pt>
                <c:pt idx="91">
                  <c:v>567.40855737534184</c:v>
                </c:pt>
                <c:pt idx="92">
                  <c:v>577.90272074471466</c:v>
                </c:pt>
                <c:pt idx="93">
                  <c:v>588.39290880026499</c:v>
                </c:pt>
                <c:pt idx="94">
                  <c:v>598.87920239708058</c:v>
                </c:pt>
                <c:pt idx="95">
                  <c:v>609.36167932827254</c:v>
                </c:pt>
                <c:pt idx="96">
                  <c:v>619.84041449272661</c:v>
                </c:pt>
                <c:pt idx="97">
                  <c:v>630.31548005092793</c:v>
                </c:pt>
                <c:pt idx="98">
                  <c:v>640.78694556988842</c:v>
                </c:pt>
                <c:pt idx="99">
                  <c:v>651.25487815811414</c:v>
                </c:pt>
                <c:pt idx="100">
                  <c:v>661.71934259144575</c:v>
                </c:pt>
                <c:pt idx="101">
                  <c:v>581.32852138015051</c:v>
                </c:pt>
                <c:pt idx="102">
                  <c:v>590.74731089993577</c:v>
                </c:pt>
                <c:pt idx="103">
                  <c:v>600.16297452894207</c:v>
                </c:pt>
                <c:pt idx="104">
                  <c:v>609.57556821855803</c:v>
                </c:pt>
                <c:pt idx="105">
                  <c:v>618.98514605149205</c:v>
                </c:pt>
                <c:pt idx="106">
                  <c:v>628.3917603322484</c:v>
                </c:pt>
                <c:pt idx="107">
                  <c:v>637.79546167190301</c:v>
                </c:pt>
                <c:pt idx="108">
                  <c:v>647.19629906762555</c:v>
                </c:pt>
                <c:pt idx="109">
                  <c:v>656.59431997733589</c:v>
                </c:pt>
                <c:pt idx="110">
                  <c:v>665.9895703898718</c:v>
                </c:pt>
                <c:pt idx="111">
                  <c:v>590.53328243145256</c:v>
                </c:pt>
                <c:pt idx="112">
                  <c:v>598.45126564391796</c:v>
                </c:pt>
                <c:pt idx="113">
                  <c:v>606.36707095513873</c:v>
                </c:pt>
                <c:pt idx="114">
                  <c:v>614.28073080742217</c:v>
                </c:pt>
                <c:pt idx="115">
                  <c:v>622.19227673896933</c:v>
                </c:pt>
                <c:pt idx="116">
                  <c:v>630.10173942049767</c:v>
                </c:pt>
                <c:pt idx="117">
                  <c:v>638.00914868992481</c:v>
                </c:pt>
                <c:pt idx="118">
                  <c:v>645.91453358524529</c:v>
                </c:pt>
                <c:pt idx="119">
                  <c:v>653.81792237571403</c:v>
                </c:pt>
                <c:pt idx="120">
                  <c:v>661.71934259144507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116.89485563510304</c:v>
                </c:pt>
                <c:pt idx="22">
                  <c:v>131.72001628084266</c:v>
                </c:pt>
                <c:pt idx="23">
                  <c:v>146.50486807208301</c:v>
                </c:pt>
                <c:pt idx="24">
                  <c:v>161.25405583173711</c:v>
                </c:pt>
                <c:pt idx="25">
                  <c:v>175.97130339884507</c:v>
                </c:pt>
                <c:pt idx="26">
                  <c:v>190.65965977632126</c:v>
                </c:pt>
                <c:pt idx="27">
                  <c:v>205.32166516759025</c:v>
                </c:pt>
                <c:pt idx="28">
                  <c:v>219.95946695955351</c:v>
                </c:pt>
                <c:pt idx="29">
                  <c:v>234.57490313969427</c:v>
                </c:pt>
                <c:pt idx="30">
                  <c:v>249.16956379358496</c:v>
                </c:pt>
                <c:pt idx="31">
                  <c:v>200.90243103308021</c:v>
                </c:pt>
                <c:pt idx="32">
                  <c:v>219.95946695955351</c:v>
                </c:pt>
                <c:pt idx="33">
                  <c:v>238.97858846210613</c:v>
                </c:pt>
                <c:pt idx="34">
                  <c:v>257.96323733243617</c:v>
                </c:pt>
                <c:pt idx="35">
                  <c:v>276.91630711457987</c:v>
                </c:pt>
                <c:pt idx="36">
                  <c:v>295.84026279064108</c:v>
                </c:pt>
                <c:pt idx="37">
                  <c:v>314.7372281920492</c:v>
                </c:pt>
                <c:pt idx="38">
                  <c:v>333.60905129466971</c:v>
                </c:pt>
                <c:pt idx="39">
                  <c:v>352.45735395348788</c:v>
                </c:pt>
                <c:pt idx="40">
                  <c:v>371.28357043570469</c:v>
                </c:pt>
                <c:pt idx="41">
                  <c:v>293.76459769344609</c:v>
                </c:pt>
                <c:pt idx="42">
                  <c:v>312.89475650137189</c:v>
                </c:pt>
                <c:pt idx="43">
                  <c:v>331.9989817691162</c:v>
                </c:pt>
                <c:pt idx="44">
                  <c:v>351.07897517630312</c:v>
                </c:pt>
                <c:pt idx="45">
                  <c:v>370.13623838046755</c:v>
                </c:pt>
                <c:pt idx="46">
                  <c:v>389.17210583018453</c:v>
                </c:pt>
                <c:pt idx="47">
                  <c:v>408.18777082091782</c:v>
                </c:pt>
                <c:pt idx="48">
                  <c:v>427.18430644135782</c:v>
                </c:pt>
                <c:pt idx="49">
                  <c:v>446.16268259938101</c:v>
                </c:pt>
                <c:pt idx="50">
                  <c:v>465.12378000022363</c:v>
                </c:pt>
                <c:pt idx="51">
                  <c:v>386.87972063328522</c:v>
                </c:pt>
                <c:pt idx="52">
                  <c:v>404.75265083611265</c:v>
                </c:pt>
                <c:pt idx="53">
                  <c:v>422.60852377532825</c:v>
                </c:pt>
                <c:pt idx="54">
                  <c:v>440.44816126040695</c:v>
                </c:pt>
                <c:pt idx="55">
                  <c:v>458.27231312639077</c:v>
                </c:pt>
                <c:pt idx="56">
                  <c:v>476.08166614924016</c:v>
                </c:pt>
                <c:pt idx="57">
                  <c:v>493.87685155793548</c:v>
                </c:pt>
                <c:pt idx="58">
                  <c:v>511.65845140779737</c:v>
                </c:pt>
                <c:pt idx="59">
                  <c:v>529.42700402201615</c:v>
                </c:pt>
                <c:pt idx="60">
                  <c:v>547.18300866493496</c:v>
                </c:pt>
                <c:pt idx="61">
                  <c:v>467.40712233198627</c:v>
                </c:pt>
                <c:pt idx="62">
                  <c:v>483.3839347860071</c:v>
                </c:pt>
                <c:pt idx="63">
                  <c:v>499.34953422631787</c:v>
                </c:pt>
                <c:pt idx="64">
                  <c:v>515.30432949652743</c:v>
                </c:pt>
                <c:pt idx="65">
                  <c:v>531.2487020698627</c:v>
                </c:pt>
                <c:pt idx="66">
                  <c:v>547.18300866493496</c:v>
                </c:pt>
                <c:pt idx="67">
                  <c:v>563.10758354108691</c:v>
                </c:pt>
                <c:pt idx="68">
                  <c:v>579.02274052069481</c:v>
                </c:pt>
                <c:pt idx="69">
                  <c:v>594.92877477767308</c:v>
                </c:pt>
                <c:pt idx="70">
                  <c:v>610.82596442486022</c:v>
                </c:pt>
                <c:pt idx="71">
                  <c:v>529.19928249776444</c:v>
                </c:pt>
                <c:pt idx="72">
                  <c:v>543.08655802570433</c:v>
                </c:pt>
                <c:pt idx="73">
                  <c:v>556.96637999303061</c:v>
                </c:pt>
                <c:pt idx="74">
                  <c:v>570.83896024648345</c:v>
                </c:pt>
                <c:pt idx="75">
                  <c:v>584.70449950058844</c:v>
                </c:pt>
                <c:pt idx="76">
                  <c:v>598.56318817825183</c:v>
                </c:pt>
                <c:pt idx="77">
                  <c:v>612.4152071694856</c:v>
                </c:pt>
                <c:pt idx="78">
                  <c:v>626.26072851795345</c:v>
                </c:pt>
                <c:pt idx="79">
                  <c:v>640.09991604367588</c:v>
                </c:pt>
                <c:pt idx="80">
                  <c:v>653.93292590911119</c:v>
                </c:pt>
                <c:pt idx="81">
                  <c:v>571.29367866643076</c:v>
                </c:pt>
                <c:pt idx="82">
                  <c:v>584.02274942390375</c:v>
                </c:pt>
                <c:pt idx="83">
                  <c:v>596.74603902946581</c:v>
                </c:pt>
                <c:pt idx="84">
                  <c:v>609.46368807028455</c:v>
                </c:pt>
                <c:pt idx="85">
                  <c:v>622.17583079004964</c:v>
                </c:pt>
                <c:pt idx="86">
                  <c:v>634.8825955016722</c:v>
                </c:pt>
                <c:pt idx="87">
                  <c:v>647.58410496524175</c:v>
                </c:pt>
                <c:pt idx="88">
                  <c:v>660.28047673480012</c:v>
                </c:pt>
                <c:pt idx="89">
                  <c:v>672.97182347707405</c:v>
                </c:pt>
                <c:pt idx="90">
                  <c:v>685.65825326492529</c:v>
                </c:pt>
                <c:pt idx="91">
                  <c:v>601.51581107912864</c:v>
                </c:pt>
                <c:pt idx="92">
                  <c:v>612.6422348572687</c:v>
                </c:pt>
                <c:pt idx="93">
                  <c:v>623.76446791937724</c:v>
                </c:pt>
                <c:pt idx="94">
                  <c:v>634.8825955016722</c:v>
                </c:pt>
                <c:pt idx="95">
                  <c:v>645.9966996124806</c:v>
                </c:pt>
                <c:pt idx="96">
                  <c:v>657.10685920908134</c:v>
                </c:pt>
                <c:pt idx="97">
                  <c:v>668.213150361972</c:v>
                </c:pt>
                <c:pt idx="98">
                  <c:v>679.31564640765021</c:v>
                </c:pt>
                <c:pt idx="99">
                  <c:v>690.41441809089395</c:v>
                </c:pt>
                <c:pt idx="100">
                  <c:v>701.50953369741922</c:v>
                </c:pt>
                <c:pt idx="101">
                  <c:v>616.2744410035516</c:v>
                </c:pt>
                <c:pt idx="102">
                  <c:v>626.26072851795345</c:v>
                </c:pt>
                <c:pt idx="103">
                  <c:v>636.24372076531847</c:v>
                </c:pt>
                <c:pt idx="104">
                  <c:v>646.22347672875947</c:v>
                </c:pt>
                <c:pt idx="105">
                  <c:v>656.20005342145384</c:v>
                </c:pt>
                <c:pt idx="106">
                  <c:v>666.17350598202279</c:v>
                </c:pt>
                <c:pt idx="107">
                  <c:v>676.14388776390194</c:v>
                </c:pt>
                <c:pt idx="108">
                  <c:v>686.11125041916978</c:v>
                </c:pt>
                <c:pt idx="109">
                  <c:v>696.07564397725218</c:v>
                </c:pt>
                <c:pt idx="110">
                  <c:v>706.03711691888964</c:v>
                </c:pt>
                <c:pt idx="111">
                  <c:v>626.03380426043839</c:v>
                </c:pt>
                <c:pt idx="112">
                  <c:v>634.42887368260006</c:v>
                </c:pt>
                <c:pt idx="113">
                  <c:v>642.82164719403238</c:v>
                </c:pt>
                <c:pt idx="114">
                  <c:v>651.21215899492643</c:v>
                </c:pt>
                <c:pt idx="115">
                  <c:v>659.60044233238023</c:v>
                </c:pt>
                <c:pt idx="116">
                  <c:v>667.98652953900239</c:v>
                </c:pt>
                <c:pt idx="117">
                  <c:v>676.37045206947698</c:v>
                </c:pt>
                <c:pt idx="118">
                  <c:v>684.75224053522061</c:v>
                </c:pt>
                <c:pt idx="119">
                  <c:v>693.13192473725724</c:v>
                </c:pt>
                <c:pt idx="120">
                  <c:v>701.50953369741853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2.1567642387920674</c:v>
                </c:pt>
                <c:pt idx="2">
                  <c:v>2.6855980128649111</c:v>
                </c:pt>
                <c:pt idx="3">
                  <c:v>3.3446067142828606</c:v>
                </c:pt>
                <c:pt idx="4">
                  <c:v>4.16595112708253</c:v>
                </c:pt>
                <c:pt idx="5">
                  <c:v>5.1897648480507295</c:v>
                </c:pt>
                <c:pt idx="6">
                  <c:v>6.4661370653121786</c:v>
                </c:pt>
                <c:pt idx="7">
                  <c:v>8.057589882609383</c:v>
                </c:pt>
                <c:pt idx="8">
                  <c:v>10.042173869899939</c:v>
                </c:pt>
                <c:pt idx="9">
                  <c:v>12.517336527679234</c:v>
                </c:pt>
                <c:pt idx="10">
                  <c:v>15.604757149851741</c:v>
                </c:pt>
                <c:pt idx="11">
                  <c:v>19.456390119377222</c:v>
                </c:pt>
                <c:pt idx="12">
                  <c:v>24.262019428339389</c:v>
                </c:pt>
                <c:pt idx="13">
                  <c:v>30.258703255192469</c:v>
                </c:pt>
                <c:pt idx="14">
                  <c:v>37.742582608618598</c:v>
                </c:pt>
                <c:pt idx="15">
                  <c:v>47.083647183971607</c:v>
                </c:pt>
                <c:pt idx="16">
                  <c:v>58.744200717255033</c:v>
                </c:pt>
                <c:pt idx="17">
                  <c:v>73.30195483191865</c:v>
                </c:pt>
                <c:pt idx="18">
                  <c:v>91.478914136887184</c:v>
                </c:pt>
                <c:pt idx="19">
                  <c:v>114.17750802800187</c:v>
                </c:pt>
                <c:pt idx="20">
                  <c:v>142.52579115025176</c:v>
                </c:pt>
                <c:pt idx="21">
                  <c:v>97.312065972754382</c:v>
                </c:pt>
                <c:pt idx="22">
                  <c:v>115.27221811342979</c:v>
                </c:pt>
                <c:pt idx="23">
                  <c:v>133.16379985429114</c:v>
                </c:pt>
                <c:pt idx="24">
                  <c:v>150.99733996220459</c:v>
                </c:pt>
                <c:pt idx="25">
                  <c:v>168.78066680719573</c:v>
                </c:pt>
                <c:pt idx="26">
                  <c:v>186.51981963531719</c:v>
                </c:pt>
                <c:pt idx="27">
                  <c:v>204.21959279021061</c:v>
                </c:pt>
                <c:pt idx="28">
                  <c:v>221.88388047112758</c:v>
                </c:pt>
                <c:pt idx="29">
                  <c:v>239.51590555035622</c:v>
                </c:pt>
                <c:pt idx="30">
                  <c:v>257.1183772918742</c:v>
                </c:pt>
                <c:pt idx="31">
                  <c:v>190.87571093543406</c:v>
                </c:pt>
                <c:pt idx="32">
                  <c:v>205.6687727406734</c:v>
                </c:pt>
                <c:pt idx="33">
                  <c:v>220.43724193036135</c:v>
                </c:pt>
                <c:pt idx="34">
                  <c:v>235.18299859219027</c:v>
                </c:pt>
                <c:pt idx="35">
                  <c:v>249.90766763554743</c:v>
                </c:pt>
                <c:pt idx="36">
                  <c:v>264.61266674466111</c:v>
                </c:pt>
                <c:pt idx="37">
                  <c:v>279.29924310003668</c:v>
                </c:pt>
                <c:pt idx="38">
                  <c:v>293.96850196335311</c:v>
                </c:pt>
                <c:pt idx="39">
                  <c:v>308.62142925305045</c:v>
                </c:pt>
                <c:pt idx="40">
                  <c:v>323.25890960508121</c:v>
                </c:pt>
                <c:pt idx="41">
                  <c:v>253.80202769919762</c:v>
                </c:pt>
                <c:pt idx="42">
                  <c:v>264.90081208016181</c:v>
                </c:pt>
                <c:pt idx="43">
                  <c:v>275.98911371379239</c:v>
                </c:pt>
                <c:pt idx="44">
                  <c:v>287.0674133532234</c:v>
                </c:pt>
                <c:pt idx="45">
                  <c:v>298.13615159385154</c:v>
                </c:pt>
                <c:pt idx="46">
                  <c:v>309.19573362623737</c:v>
                </c:pt>
                <c:pt idx="47">
                  <c:v>320.24653327300206</c:v>
                </c:pt>
                <c:pt idx="48">
                  <c:v>331.28889643907769</c:v>
                </c:pt>
                <c:pt idx="49">
                  <c:v>342.32314407768052</c:v>
                </c:pt>
                <c:pt idx="50">
                  <c:v>353.34957475371965</c:v>
                </c:pt>
                <c:pt idx="51">
                  <c:v>305.46232940780999</c:v>
                </c:pt>
                <c:pt idx="52">
                  <c:v>313.50226463243422</c:v>
                </c:pt>
                <c:pt idx="53">
                  <c:v>321.53762812838323</c:v>
                </c:pt>
                <c:pt idx="54">
                  <c:v>329.56855035950645</c:v>
                </c:pt>
                <c:pt idx="55">
                  <c:v>337.59515490695998</c:v>
                </c:pt>
                <c:pt idx="56">
                  <c:v>345.61755899091719</c:v>
                </c:pt>
                <c:pt idx="57">
                  <c:v>353.6358739412795</c:v>
                </c:pt>
                <c:pt idx="58">
                  <c:v>361.65020562344097</c:v>
                </c:pt>
                <c:pt idx="59">
                  <c:v>369.66065482432015</c:v>
                </c:pt>
                <c:pt idx="60">
                  <c:v>377.66731760316674</c:v>
                </c:pt>
                <c:pt idx="61">
                  <c:v>347.76571840159392</c:v>
                </c:pt>
                <c:pt idx="62">
                  <c:v>353.63587394127961</c:v>
                </c:pt>
                <c:pt idx="63">
                  <c:v>359.50389442227942</c:v>
                </c:pt>
                <c:pt idx="64">
                  <c:v>365.36981964928873</c:v>
                </c:pt>
                <c:pt idx="65">
                  <c:v>371.23368804323746</c:v>
                </c:pt>
                <c:pt idx="66">
                  <c:v>377.09553671098297</c:v>
                </c:pt>
                <c:pt idx="67">
                  <c:v>382.95540151044014</c:v>
                </c:pt>
                <c:pt idx="68">
                  <c:v>388.81331711151353</c:v>
                </c:pt>
                <c:pt idx="69">
                  <c:v>394.669317053165</c:v>
                </c:pt>
                <c:pt idx="70">
                  <c:v>400.52343379691257</c:v>
                </c:pt>
                <c:pt idx="71">
                  <c:v>374.9511899311089</c:v>
                </c:pt>
                <c:pt idx="72">
                  <c:v>379.38254731510438</c:v>
                </c:pt>
                <c:pt idx="73">
                  <c:v>383.812778391736</c:v>
                </c:pt>
                <c:pt idx="74">
                  <c:v>388.24189801221195</c:v>
                </c:pt>
                <c:pt idx="75">
                  <c:v>392.66992066083503</c:v>
                </c:pt>
                <c:pt idx="76">
                  <c:v>397.09686046819598</c:v>
                </c:pt>
                <c:pt idx="77">
                  <c:v>401.52273122374817</c:v>
                </c:pt>
                <c:pt idx="78">
                  <c:v>405.9475463877975</c:v>
                </c:pt>
                <c:pt idx="79">
                  <c:v>410.37131910294289</c:v>
                </c:pt>
                <c:pt idx="80">
                  <c:v>414.79406220499703</c:v>
                </c:pt>
                <c:pt idx="81">
                  <c:v>1.1825802166488628E-12</c:v>
                </c:pt>
                <c:pt idx="82">
                  <c:v>1.1825802166488628E-12</c:v>
                </c:pt>
                <c:pt idx="83">
                  <c:v>1.1825802166488628E-12</c:v>
                </c:pt>
                <c:pt idx="84">
                  <c:v>1.1825802166488628E-12</c:v>
                </c:pt>
                <c:pt idx="85">
                  <c:v>1.1825802166488628E-12</c:v>
                </c:pt>
                <c:pt idx="86">
                  <c:v>1.1825802166488628E-12</c:v>
                </c:pt>
                <c:pt idx="87">
                  <c:v>1.1825802166488628E-12</c:v>
                </c:pt>
                <c:pt idx="88">
                  <c:v>1.1825802166488628E-12</c:v>
                </c:pt>
                <c:pt idx="89">
                  <c:v>1.1825802166488628E-12</c:v>
                </c:pt>
                <c:pt idx="90">
                  <c:v>1.1825802166488628E-12</c:v>
                </c:pt>
                <c:pt idx="91">
                  <c:v>1.1825802166488628E-12</c:v>
                </c:pt>
                <c:pt idx="92">
                  <c:v>1.1825802166488628E-12</c:v>
                </c:pt>
                <c:pt idx="93">
                  <c:v>1.1825802166488628E-12</c:v>
                </c:pt>
                <c:pt idx="94">
                  <c:v>1.1825802166488628E-12</c:v>
                </c:pt>
                <c:pt idx="95">
                  <c:v>1.1825802166488628E-12</c:v>
                </c:pt>
                <c:pt idx="96">
                  <c:v>1.1825802166488628E-12</c:v>
                </c:pt>
                <c:pt idx="97">
                  <c:v>1.1825802166488628E-12</c:v>
                </c:pt>
                <c:pt idx="98">
                  <c:v>1.1825802166488628E-12</c:v>
                </c:pt>
                <c:pt idx="99">
                  <c:v>1.1825802166488628E-12</c:v>
                </c:pt>
                <c:pt idx="100">
                  <c:v>1.1825802166488628E-12</c:v>
                </c:pt>
                <c:pt idx="101">
                  <c:v>1.1825802166488628E-12</c:v>
                </c:pt>
                <c:pt idx="102">
                  <c:v>1.1825802166488628E-12</c:v>
                </c:pt>
                <c:pt idx="103">
                  <c:v>1.1825802166488628E-12</c:v>
                </c:pt>
                <c:pt idx="104">
                  <c:v>1.1825802166488628E-12</c:v>
                </c:pt>
                <c:pt idx="105">
                  <c:v>1.1825802166488628E-12</c:v>
                </c:pt>
                <c:pt idx="106">
                  <c:v>1.1825802166488628E-12</c:v>
                </c:pt>
                <c:pt idx="107">
                  <c:v>1.1825802166488628E-12</c:v>
                </c:pt>
                <c:pt idx="108">
                  <c:v>1.1825802166488628E-12</c:v>
                </c:pt>
                <c:pt idx="109">
                  <c:v>1.1825802166488628E-12</c:v>
                </c:pt>
                <c:pt idx="110">
                  <c:v>1.1825802166488628E-12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4.7501668593059909</c:v>
                </c:pt>
                <c:pt idx="2">
                  <c:v>9.781033106021189</c:v>
                </c:pt>
                <c:pt idx="3">
                  <c:v>20.170912404444724</c:v>
                </c:pt>
                <c:pt idx="4">
                  <c:v>41.658684339935661</c:v>
                </c:pt>
                <c:pt idx="5">
                  <c:v>86.158510470515978</c:v>
                </c:pt>
                <c:pt idx="6">
                  <c:v>93.33694261924164</c:v>
                </c:pt>
                <c:pt idx="7">
                  <c:v>126.27510860866158</c:v>
                </c:pt>
                <c:pt idx="8">
                  <c:v>159.00328247325112</c:v>
                </c:pt>
                <c:pt idx="9">
                  <c:v>191.57108695772345</c:v>
                </c:pt>
                <c:pt idx="10">
                  <c:v>224.00971024958213</c:v>
                </c:pt>
                <c:pt idx="11">
                  <c:v>171.57654976527132</c:v>
                </c:pt>
                <c:pt idx="12">
                  <c:v>199.39850383471867</c:v>
                </c:pt>
                <c:pt idx="13">
                  <c:v>227.1303449649258</c:v>
                </c:pt>
                <c:pt idx="14">
                  <c:v>254.78462730699016</c:v>
                </c:pt>
                <c:pt idx="15">
                  <c:v>282.37095153600734</c:v>
                </c:pt>
                <c:pt idx="16">
                  <c:v>249.72650127853672</c:v>
                </c:pt>
                <c:pt idx="17">
                  <c:v>271.49943214721333</c:v>
                </c:pt>
                <c:pt idx="18">
                  <c:v>293.23309465560823</c:v>
                </c:pt>
                <c:pt idx="19">
                  <c:v>314.93080732119182</c:v>
                </c:pt>
                <c:pt idx="20">
                  <c:v>336.59539404232521</c:v>
                </c:pt>
                <c:pt idx="21">
                  <c:v>314.54364642285981</c:v>
                </c:pt>
                <c:pt idx="22">
                  <c:v>331.18221405363937</c:v>
                </c:pt>
                <c:pt idx="23">
                  <c:v>347.80235114634814</c:v>
                </c:pt>
                <c:pt idx="24">
                  <c:v>364.40506221560372</c:v>
                </c:pt>
                <c:pt idx="25">
                  <c:v>380.99125278423679</c:v>
                </c:pt>
                <c:pt idx="26">
                  <c:v>367.10624290364035</c:v>
                </c:pt>
                <c:pt idx="27">
                  <c:v>380.22015624917958</c:v>
                </c:pt>
                <c:pt idx="28">
                  <c:v>393.32423243211684</c:v>
                </c:pt>
                <c:pt idx="29">
                  <c:v>406.41884537601385</c:v>
                </c:pt>
                <c:pt idx="30">
                  <c:v>419.50434294248203</c:v>
                </c:pt>
                <c:pt idx="31">
                  <c:v>408.34374690780288</c:v>
                </c:pt>
                <c:pt idx="32">
                  <c:v>418.35009841196273</c:v>
                </c:pt>
                <c:pt idx="33">
                  <c:v>428.35129337702142</c:v>
                </c:pt>
                <c:pt idx="34">
                  <c:v>438.34746920790479</c:v>
                </c:pt>
                <c:pt idx="35">
                  <c:v>448.33875652973478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1.8462109889683529</c:v>
                </c:pt>
                <c:pt idx="2">
                  <c:v>2.3451489488503281</c:v>
                </c:pt>
                <c:pt idx="3">
                  <c:v>2.9794649120615269</c:v>
                </c:pt>
                <c:pt idx="4">
                  <c:v>3.786029750845104</c:v>
                </c:pt>
                <c:pt idx="5">
                  <c:v>4.8117916429562113</c:v>
                </c:pt>
                <c:pt idx="6">
                  <c:v>6.1165393222775526</c:v>
                </c:pt>
                <c:pt idx="7">
                  <c:v>7.776425305000866</c:v>
                </c:pt>
                <c:pt idx="8">
                  <c:v>9.8884586824205432</c:v>
                </c:pt>
                <c:pt idx="9">
                  <c:v>12.576235018664383</c:v>
                </c:pt>
                <c:pt idx="10">
                  <c:v>15.997244896491198</c:v>
                </c:pt>
                <c:pt idx="11">
                  <c:v>35.11946593524749</c:v>
                </c:pt>
                <c:pt idx="12">
                  <c:v>53.941533317200332</c:v>
                </c:pt>
                <c:pt idx="13">
                  <c:v>72.587839462606041</c:v>
                </c:pt>
                <c:pt idx="14">
                  <c:v>91.110686124684605</c:v>
                </c:pt>
                <c:pt idx="15">
                  <c:v>109.53891756394221</c:v>
                </c:pt>
                <c:pt idx="16">
                  <c:v>127.89076379214985</c:v>
                </c:pt>
                <c:pt idx="17">
                  <c:v>146.17875680898462</c:v>
                </c:pt>
                <c:pt idx="18">
                  <c:v>164.41202153837858</c:v>
                </c:pt>
                <c:pt idx="19">
                  <c:v>182.59748696177417</c:v>
                </c:pt>
                <c:pt idx="20">
                  <c:v>200.74058596732007</c:v>
                </c:pt>
                <c:pt idx="21">
                  <c:v>151.28925619778201</c:v>
                </c:pt>
                <c:pt idx="22">
                  <c:v>178.23702366279221</c:v>
                </c:pt>
                <c:pt idx="23">
                  <c:v>205.08912920241869</c:v>
                </c:pt>
                <c:pt idx="24">
                  <c:v>231.85987083514172</c:v>
                </c:pt>
                <c:pt idx="25">
                  <c:v>258.55996582862002</c:v>
                </c:pt>
                <c:pt idx="26">
                  <c:v>285.19773351607643</c:v>
                </c:pt>
                <c:pt idx="27">
                  <c:v>311.77981081702814</c:v>
                </c:pt>
                <c:pt idx="28">
                  <c:v>338.31161007994922</c:v>
                </c:pt>
                <c:pt idx="29">
                  <c:v>364.79762541449355</c:v>
                </c:pt>
                <c:pt idx="30">
                  <c:v>391.24164524422287</c:v>
                </c:pt>
                <c:pt idx="31">
                  <c:v>283.75933157442824</c:v>
                </c:pt>
                <c:pt idx="32">
                  <c:v>310.10500044645295</c:v>
                </c:pt>
                <c:pt idx="33">
                  <c:v>336.40098850741833</c:v>
                </c:pt>
                <c:pt idx="34">
                  <c:v>362.6517220826974</c:v>
                </c:pt>
                <c:pt idx="35">
                  <c:v>388.86093454636375</c:v>
                </c:pt>
                <c:pt idx="36">
                  <c:v>415.03181517088063</c:v>
                </c:pt>
                <c:pt idx="37">
                  <c:v>441.16711844087371</c:v>
                </c:pt>
                <c:pt idx="38">
                  <c:v>467.26924609904478</c:v>
                </c:pt>
                <c:pt idx="39">
                  <c:v>493.34030989948968</c:v>
                </c:pt>
                <c:pt idx="40">
                  <c:v>519.3821804047584</c:v>
                </c:pt>
                <c:pt idx="41">
                  <c:v>409.3249286811602</c:v>
                </c:pt>
                <c:pt idx="42">
                  <c:v>432.14242504303388</c:v>
                </c:pt>
                <c:pt idx="43">
                  <c:v>454.93405296728002</c:v>
                </c:pt>
                <c:pt idx="44">
                  <c:v>477.701289583191</c:v>
                </c:pt>
                <c:pt idx="45">
                  <c:v>500.44545984540667</c:v>
                </c:pt>
                <c:pt idx="46">
                  <c:v>523.16775855438141</c:v>
                </c:pt>
                <c:pt idx="47">
                  <c:v>545.86926835341148</c:v>
                </c:pt>
                <c:pt idx="48">
                  <c:v>568.55097457736008</c:v>
                </c:pt>
                <c:pt idx="49">
                  <c:v>591.21377760988844</c:v>
                </c:pt>
                <c:pt idx="50">
                  <c:v>613.85850324857017</c:v>
                </c:pt>
                <c:pt idx="51">
                  <c:v>505.41779238953194</c:v>
                </c:pt>
                <c:pt idx="52">
                  <c:v>524.58720128194273</c:v>
                </c:pt>
                <c:pt idx="53">
                  <c:v>543.74185767351298</c:v>
                </c:pt>
                <c:pt idx="54">
                  <c:v>562.88235401865029</c:v>
                </c:pt>
                <c:pt idx="55">
                  <c:v>582.00923922497111</c:v>
                </c:pt>
                <c:pt idx="56">
                  <c:v>601.12302320907963</c:v>
                </c:pt>
                <c:pt idx="57">
                  <c:v>620.22418084313767</c:v>
                </c:pt>
                <c:pt idx="58">
                  <c:v>639.31315539031277</c:v>
                </c:pt>
                <c:pt idx="59">
                  <c:v>658.39036150888137</c:v>
                </c:pt>
                <c:pt idx="60">
                  <c:v>677.45618789031789</c:v>
                </c:pt>
                <c:pt idx="61">
                  <c:v>595.46101689050818</c:v>
                </c:pt>
                <c:pt idx="62">
                  <c:v>611.26468734168623</c:v>
                </c:pt>
                <c:pt idx="63">
                  <c:v>627.05988300825231</c:v>
                </c:pt>
                <c:pt idx="64">
                  <c:v>642.84684729505659</c:v>
                </c:pt>
                <c:pt idx="65">
                  <c:v>658.62581068526822</c:v>
                </c:pt>
                <c:pt idx="66">
                  <c:v>674.39699172585108</c:v>
                </c:pt>
                <c:pt idx="67">
                  <c:v>690.16059791612599</c:v>
                </c:pt>
                <c:pt idx="68">
                  <c:v>705.91682651099427</c:v>
                </c:pt>
                <c:pt idx="69">
                  <c:v>721.66586524877459</c:v>
                </c:pt>
                <c:pt idx="70">
                  <c:v>737.40789301225266</c:v>
                </c:pt>
                <c:pt idx="71">
                  <c:v>670.86679558240803</c:v>
                </c:pt>
                <c:pt idx="72">
                  <c:v>683.10319046019015</c:v>
                </c:pt>
                <c:pt idx="73">
                  <c:v>695.33508908742158</c:v>
                </c:pt>
                <c:pt idx="74">
                  <c:v>707.56258166653413</c:v>
                </c:pt>
                <c:pt idx="75">
                  <c:v>719.78575502980368</c:v>
                </c:pt>
                <c:pt idx="76">
                  <c:v>732.00469282155143</c:v>
                </c:pt>
                <c:pt idx="77">
                  <c:v>744.21947566755978</c:v>
                </c:pt>
                <c:pt idx="78">
                  <c:v>756.4301813327919</c:v>
                </c:pt>
                <c:pt idx="79">
                  <c:v>768.63688486840704</c:v>
                </c:pt>
                <c:pt idx="80">
                  <c:v>780.83965874895682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2.0615802021639595</c:v>
                </c:pt>
                <c:pt idx="2">
                  <c:v>2.6306720199279545</c:v>
                </c:pt>
                <c:pt idx="3">
                  <c:v>3.357488018453298</c:v>
                </c:pt>
                <c:pt idx="4">
                  <c:v>4.2859059270606634</c:v>
                </c:pt>
                <c:pt idx="5">
                  <c:v>5.4720527619498105</c:v>
                </c:pt>
                <c:pt idx="6">
                  <c:v>6.9877355562224617</c:v>
                </c:pt>
                <c:pt idx="7">
                  <c:v>8.9248358288257617</c:v>
                </c:pt>
                <c:pt idx="8">
                  <c:v>11.400939260761424</c:v>
                </c:pt>
                <c:pt idx="9">
                  <c:v>14.566548705207111</c:v>
                </c:pt>
                <c:pt idx="10">
                  <c:v>18.614327012382446</c:v>
                </c:pt>
                <c:pt idx="11">
                  <c:v>23.790942352926717</c:v>
                </c:pt>
                <c:pt idx="12">
                  <c:v>30.41225067621362</c:v>
                </c:pt>
                <c:pt idx="13">
                  <c:v>38.88275778896849</c:v>
                </c:pt>
                <c:pt idx="14">
                  <c:v>49.720570316163929</c:v>
                </c:pt>
                <c:pt idx="15">
                  <c:v>63.589387248149137</c:v>
                </c:pt>
                <c:pt idx="16">
                  <c:v>81.339523385051294</c:v>
                </c:pt>
                <c:pt idx="17">
                  <c:v>104.0605203802959</c:v>
                </c:pt>
                <c:pt idx="18">
                  <c:v>133.14862574111029</c:v>
                </c:pt>
                <c:pt idx="19">
                  <c:v>170.39335065109825</c:v>
                </c:pt>
                <c:pt idx="20">
                  <c:v>218.08851241049035</c:v>
                </c:pt>
                <c:pt idx="21">
                  <c:v>159.32874195250244</c:v>
                </c:pt>
                <c:pt idx="22">
                  <c:v>181.66813736078151</c:v>
                </c:pt>
                <c:pt idx="23">
                  <c:v>203.94321057745549</c:v>
                </c:pt>
                <c:pt idx="24">
                  <c:v>226.16197789995076</c:v>
                </c:pt>
                <c:pt idx="25">
                  <c:v>248.33074918569818</c:v>
                </c:pt>
                <c:pt idx="26">
                  <c:v>270.45461449361864</c:v>
                </c:pt>
                <c:pt idx="27">
                  <c:v>292.53776259751828</c:v>
                </c:pt>
                <c:pt idx="28">
                  <c:v>314.583698040076</c:v>
                </c:pt>
                <c:pt idx="29">
                  <c:v>336.59539404232538</c:v>
                </c:pt>
                <c:pt idx="30">
                  <c:v>358.57540326704753</c:v>
                </c:pt>
                <c:pt idx="31">
                  <c:v>266.56923588073727</c:v>
                </c:pt>
                <c:pt idx="32">
                  <c:v>286.78647711903716</c:v>
                </c:pt>
                <c:pt idx="33">
                  <c:v>306.97184146318881</c:v>
                </c:pt>
                <c:pt idx="34">
                  <c:v>327.1277190437109</c:v>
                </c:pt>
                <c:pt idx="35">
                  <c:v>347.25618143588719</c:v>
                </c:pt>
                <c:pt idx="36">
                  <c:v>367.3590405061089</c:v>
                </c:pt>
                <c:pt idx="37">
                  <c:v>387.43789369626415</c:v>
                </c:pt>
                <c:pt idx="38">
                  <c:v>407.49415942665138</c:v>
                </c:pt>
                <c:pt idx="39">
                  <c:v>427.5291051635549</c:v>
                </c:pt>
                <c:pt idx="40">
                  <c:v>447.54386995067108</c:v>
                </c:pt>
                <c:pt idx="41">
                  <c:v>355.11389600890448</c:v>
                </c:pt>
                <c:pt idx="42">
                  <c:v>371.6161159842477</c:v>
                </c:pt>
                <c:pt idx="43">
                  <c:v>388.10236266830719</c:v>
                </c:pt>
                <c:pt idx="44">
                  <c:v>404.57340992986133</c:v>
                </c:pt>
                <c:pt idx="45">
                  <c:v>421.02996350009448</c:v>
                </c:pt>
                <c:pt idx="46">
                  <c:v>437.47266945596533</c:v>
                </c:pt>
                <c:pt idx="47">
                  <c:v>453.90212136173136</c:v>
                </c:pt>
                <c:pt idx="48">
                  <c:v>470.31886632272807</c:v>
                </c:pt>
                <c:pt idx="49">
                  <c:v>486.72341015001916</c:v>
                </c:pt>
                <c:pt idx="50">
                  <c:v>503.11622179266834</c:v>
                </c:pt>
                <c:pt idx="51">
                  <c:v>426.33554561113533</c:v>
                </c:pt>
                <c:pt idx="52">
                  <c:v>439.59333149267508</c:v>
                </c:pt>
                <c:pt idx="53">
                  <c:v>452.84254581303099</c:v>
                </c:pt>
                <c:pt idx="54">
                  <c:v>466.08347466593301</c:v>
                </c:pt>
                <c:pt idx="55">
                  <c:v>479.31638656594276</c:v>
                </c:pt>
                <c:pt idx="56">
                  <c:v>492.54153399430987</c:v>
                </c:pt>
                <c:pt idx="57">
                  <c:v>505.75915477017423</c:v>
                </c:pt>
                <c:pt idx="58">
                  <c:v>518.96947327099519</c:v>
                </c:pt>
                <c:pt idx="59">
                  <c:v>532.17270152227172</c:v>
                </c:pt>
                <c:pt idx="60">
                  <c:v>545.36904017352083</c:v>
                </c:pt>
                <c:pt idx="61">
                  <c:v>483.02020001617831</c:v>
                </c:pt>
                <c:pt idx="62">
                  <c:v>493.33480119409711</c:v>
                </c:pt>
                <c:pt idx="63">
                  <c:v>503.64483183617267</c:v>
                </c:pt>
                <c:pt idx="64">
                  <c:v>513.9503987019458</c:v>
                </c:pt>
                <c:pt idx="65">
                  <c:v>524.2516039201148</c:v>
                </c:pt>
                <c:pt idx="66">
                  <c:v>534.54854527839552</c:v>
                </c:pt>
                <c:pt idx="67">
                  <c:v>544.84131648988216</c:v>
                </c:pt>
                <c:pt idx="68">
                  <c:v>555.13000743824</c:v>
                </c:pt>
                <c:pt idx="69">
                  <c:v>565.4147044037735</c:v>
                </c:pt>
                <c:pt idx="70">
                  <c:v>575.69549027219523</c:v>
                </c:pt>
                <c:pt idx="71">
                  <c:v>524.25160392011492</c:v>
                </c:pt>
                <c:pt idx="72">
                  <c:v>532.17270152227195</c:v>
                </c:pt>
                <c:pt idx="73">
                  <c:v>540.0913190698044</c:v>
                </c:pt>
                <c:pt idx="74">
                  <c:v>548.00749806060492</c:v>
                </c:pt>
                <c:pt idx="75">
                  <c:v>555.92127869561818</c:v>
                </c:pt>
                <c:pt idx="76">
                  <c:v>563.83269993765953</c:v>
                </c:pt>
                <c:pt idx="77">
                  <c:v>571.74179956676232</c:v>
                </c:pt>
                <c:pt idx="78">
                  <c:v>579.64861423230275</c:v>
                </c:pt>
                <c:pt idx="79">
                  <c:v>587.55317950213146</c:v>
                </c:pt>
                <c:pt idx="80">
                  <c:v>595.45552990892566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1.9543588281869109</c:v>
                </c:pt>
                <c:pt idx="2">
                  <c:v>2.4628876456233901</c:v>
                </c:pt>
                <c:pt idx="3">
                  <c:v>3.1042616099614975</c:v>
                </c:pt>
                <c:pt idx="4">
                  <c:v>3.9133138862196657</c:v>
                </c:pt>
                <c:pt idx="5">
                  <c:v>4.9340430157436925</c:v>
                </c:pt>
                <c:pt idx="6">
                  <c:v>6.2220323185627997</c:v>
                </c:pt>
                <c:pt idx="7">
                  <c:v>7.8475098505036698</c:v>
                </c:pt>
                <c:pt idx="8">
                  <c:v>9.8992189688558234</c:v>
                </c:pt>
                <c:pt idx="9">
                  <c:v>12.489314818142381</c:v>
                </c:pt>
                <c:pt idx="10">
                  <c:v>15.759559377214282</c:v>
                </c:pt>
                <c:pt idx="11">
                  <c:v>19.889160337009255</c:v>
                </c:pt>
                <c:pt idx="12">
                  <c:v>25.10469109541539</c:v>
                </c:pt>
                <c:pt idx="13">
                  <c:v>31.692645747947029</c:v>
                </c:pt>
                <c:pt idx="14">
                  <c:v>40.015330696204671</c:v>
                </c:pt>
                <c:pt idx="15">
                  <c:v>50.530981728738816</c:v>
                </c:pt>
                <c:pt idx="16">
                  <c:v>63.819232725076979</c:v>
                </c:pt>
                <c:pt idx="17">
                  <c:v>80.613362903460484</c:v>
                </c:pt>
                <c:pt idx="18">
                  <c:v>101.8411307842499</c:v>
                </c:pt>
                <c:pt idx="19">
                  <c:v>128.67648634641287</c:v>
                </c:pt>
                <c:pt idx="20">
                  <c:v>162.60506557753638</c:v>
                </c:pt>
                <c:pt idx="21">
                  <c:v>153.24633362321308</c:v>
                </c:pt>
                <c:pt idx="22">
                  <c:v>173.76692305521752</c:v>
                </c:pt>
                <c:pt idx="23">
                  <c:v>194.23052863625438</c:v>
                </c:pt>
                <c:pt idx="24">
                  <c:v>214.64400130887782</c:v>
                </c:pt>
                <c:pt idx="25">
                  <c:v>235.01278028177921</c:v>
                </c:pt>
                <c:pt idx="26">
                  <c:v>255.34128386600921</c:v>
                </c:pt>
                <c:pt idx="27">
                  <c:v>275.63316891288991</c:v>
                </c:pt>
                <c:pt idx="28">
                  <c:v>295.89150966027745</c:v>
                </c:pt>
                <c:pt idx="29">
                  <c:v>316.11892494264981</c:v>
                </c:pt>
                <c:pt idx="30">
                  <c:v>336.31767109212768</c:v>
                </c:pt>
                <c:pt idx="31">
                  <c:v>244.53850101874707</c:v>
                </c:pt>
                <c:pt idx="32">
                  <c:v>260.4818014173627</c:v>
                </c:pt>
                <c:pt idx="33">
                  <c:v>276.40306789470998</c:v>
                </c:pt>
                <c:pt idx="34">
                  <c:v>292.30374831900969</c:v>
                </c:pt>
                <c:pt idx="35">
                  <c:v>308.18512014007462</c:v>
                </c:pt>
                <c:pt idx="36">
                  <c:v>324.04831838189801</c:v>
                </c:pt>
                <c:pt idx="37">
                  <c:v>339.89435786363481</c:v>
                </c:pt>
                <c:pt idx="38">
                  <c:v>355.72415105802401</c:v>
                </c:pt>
                <c:pt idx="39">
                  <c:v>371.53852260367267</c:v>
                </c:pt>
                <c:pt idx="40">
                  <c:v>387.33822121677059</c:v>
                </c:pt>
                <c:pt idx="41">
                  <c:v>304.08848473578615</c:v>
                </c:pt>
                <c:pt idx="42">
                  <c:v>328.13922326681751</c:v>
                </c:pt>
                <c:pt idx="43">
                  <c:v>352.15105779017057</c:v>
                </c:pt>
                <c:pt idx="44">
                  <c:v>376.12701202848376</c:v>
                </c:pt>
                <c:pt idx="45">
                  <c:v>400.0696929048429</c:v>
                </c:pt>
                <c:pt idx="46">
                  <c:v>423.98137001578181</c:v>
                </c:pt>
                <c:pt idx="47">
                  <c:v>447.86403623255609</c:v>
                </c:pt>
                <c:pt idx="48">
                  <c:v>471.71945469929466</c:v>
                </c:pt>
                <c:pt idx="49">
                  <c:v>495.54919582854546</c:v>
                </c:pt>
                <c:pt idx="50">
                  <c:v>519.35466681110222</c:v>
                </c:pt>
                <c:pt idx="51">
                  <c:v>431.60656099910989</c:v>
                </c:pt>
                <c:pt idx="52">
                  <c:v>447.86403623255609</c:v>
                </c:pt>
                <c:pt idx="53">
                  <c:v>464.10888452471528</c:v>
                </c:pt>
                <c:pt idx="54">
                  <c:v>480.34160990668738</c:v>
                </c:pt>
                <c:pt idx="55">
                  <c:v>496.56267957814447</c:v>
                </c:pt>
                <c:pt idx="56">
                  <c:v>512.77252773883436</c:v>
                </c:pt>
                <c:pt idx="57">
                  <c:v>528.97155891052341</c:v>
                </c:pt>
                <c:pt idx="58">
                  <c:v>545.16015083098762</c:v>
                </c:pt>
                <c:pt idx="59">
                  <c:v>561.33865698650425</c:v>
                </c:pt>
                <c:pt idx="60">
                  <c:v>577.50740883732726</c:v>
                </c:pt>
                <c:pt idx="61">
                  <c:v>510.11385170032509</c:v>
                </c:pt>
                <c:pt idx="62">
                  <c:v>523.65742043679131</c:v>
                </c:pt>
                <c:pt idx="63">
                  <c:v>537.19361008971248</c:v>
                </c:pt>
                <c:pt idx="64">
                  <c:v>550.7226327388712</c:v>
                </c:pt>
                <c:pt idx="65">
                  <c:v>564.24468919783703</c:v>
                </c:pt>
                <c:pt idx="66">
                  <c:v>577.75996987374401</c:v>
                </c:pt>
                <c:pt idx="67">
                  <c:v>591.26865554246626</c:v>
                </c:pt>
                <c:pt idx="68">
                  <c:v>604.77091804929455</c:v>
                </c:pt>
                <c:pt idx="69">
                  <c:v>618.26692094381269</c:v>
                </c:pt>
                <c:pt idx="70">
                  <c:v>631.75682005648298</c:v>
                </c:pt>
                <c:pt idx="71">
                  <c:v>579.02274052069447</c:v>
                </c:pt>
                <c:pt idx="72">
                  <c:v>589.37530551237808</c:v>
                </c:pt>
                <c:pt idx="73">
                  <c:v>599.72408450238811</c:v>
                </c:pt>
                <c:pt idx="74">
                  <c:v>610.06915202133894</c:v>
                </c:pt>
                <c:pt idx="75">
                  <c:v>620.4105798664923</c:v>
                </c:pt>
                <c:pt idx="76">
                  <c:v>630.74843724685832</c:v>
                </c:pt>
                <c:pt idx="77">
                  <c:v>641.08279091829229</c:v>
                </c:pt>
                <c:pt idx="78">
                  <c:v>651.4137053094297</c:v>
                </c:pt>
                <c:pt idx="79">
                  <c:v>661.74124263922022</c:v>
                </c:pt>
                <c:pt idx="80">
                  <c:v>672.06546302674622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0" t="s">
        <v>291</v>
      </c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</row>
    <row r="13" spans="2:13" ht="15" customHeight="1" x14ac:dyDescent="0.3"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</row>
    <row r="14" spans="2:13" ht="15" customHeight="1" x14ac:dyDescent="0.3"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</row>
    <row r="15" spans="2:13" ht="18.75" customHeight="1" x14ac:dyDescent="0.3"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</row>
    <row r="16" spans="2:13" ht="18.75" customHeight="1" x14ac:dyDescent="0.3"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</row>
    <row r="18" spans="2:13" ht="12" customHeight="1" x14ac:dyDescent="0.3">
      <c r="B18" s="260" t="s">
        <v>292</v>
      </c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</row>
    <row r="19" spans="2:13" ht="12" customHeight="1" x14ac:dyDescent="0.3"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</row>
    <row r="20" spans="2:13" ht="12" customHeight="1" x14ac:dyDescent="0.3"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</row>
    <row r="21" spans="2:13" ht="12" customHeight="1" x14ac:dyDescent="0.3"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</row>
    <row r="22" spans="2:13" ht="12" customHeight="1" x14ac:dyDescent="0.3"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</row>
    <row r="23" spans="2:13" ht="12" customHeight="1" x14ac:dyDescent="0.3"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</row>
    <row r="24" spans="2:13" ht="12" customHeight="1" x14ac:dyDescent="0.3"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</row>
    <row r="25" spans="2:13" ht="12" customHeight="1" x14ac:dyDescent="0.3"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</row>
    <row r="26" spans="2:13" ht="12" customHeight="1" x14ac:dyDescent="0.3"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</row>
    <row r="27" spans="2:13" ht="12" customHeight="1" x14ac:dyDescent="0.3"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</row>
    <row r="28" spans="2:13" ht="12" customHeight="1" x14ac:dyDescent="0.3"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</row>
    <row r="29" spans="2:13" ht="12" customHeight="1" x14ac:dyDescent="0.3"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</row>
    <row r="30" spans="2:13" ht="12" customHeight="1" x14ac:dyDescent="0.3"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</row>
    <row r="31" spans="2:13" ht="12" customHeight="1" x14ac:dyDescent="0.3"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D278" sqref="D27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6" t="s">
        <v>192</v>
      </c>
      <c r="C3" s="267"/>
      <c r="D3" s="267"/>
      <c r="E3" s="267"/>
      <c r="F3" s="268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1" t="s">
        <v>231</v>
      </c>
      <c r="B5" s="271"/>
      <c r="C5" s="24">
        <v>38.42</v>
      </c>
      <c r="D5" s="272" t="s">
        <v>229</v>
      </c>
      <c r="E5" s="273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0" t="s">
        <v>226</v>
      </c>
      <c r="B7" s="270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0.05</v>
      </c>
      <c r="D9" s="33">
        <f t="shared" ref="D9:D18" si="0">C9*$C$5</f>
        <v>1.9210000000000003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</v>
      </c>
      <c r="C10" s="32">
        <v>0.28000000000000003</v>
      </c>
      <c r="D10" s="33">
        <f t="shared" si="0"/>
        <v>10.757600000000002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164</v>
      </c>
      <c r="C11" s="32">
        <v>0.18</v>
      </c>
      <c r="D11" s="33">
        <f t="shared" si="0"/>
        <v>6.9156000000000004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52</v>
      </c>
      <c r="C12" s="32">
        <v>7.0000000000000007E-2</v>
      </c>
      <c r="D12" s="33">
        <f t="shared" si="0"/>
        <v>2.6894000000000005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50</v>
      </c>
      <c r="C13" s="32">
        <v>0.08</v>
      </c>
      <c r="D13" s="33">
        <f t="shared" si="0"/>
        <v>3.0736000000000003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44</v>
      </c>
      <c r="C14" s="32">
        <v>0.04</v>
      </c>
      <c r="D14" s="33">
        <f t="shared" si="0"/>
        <v>1.5368000000000002</v>
      </c>
      <c r="E14" s="34">
        <v>35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18</v>
      </c>
      <c r="C15" s="32">
        <v>0.05</v>
      </c>
      <c r="D15" s="33">
        <f t="shared" si="0"/>
        <v>1.9210000000000003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27</v>
      </c>
      <c r="C16" s="32">
        <v>0.11</v>
      </c>
      <c r="D16" s="33">
        <f t="shared" si="0"/>
        <v>4.2262000000000004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35</v>
      </c>
      <c r="C17" s="32">
        <v>0.03</v>
      </c>
      <c r="D17" s="33">
        <f t="shared" si="0"/>
        <v>1.1526000000000001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23</v>
      </c>
      <c r="C18" s="32">
        <v>0.11</v>
      </c>
      <c r="D18" s="33">
        <f t="shared" si="0"/>
        <v>4.2262000000000004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1.0000000000000002</v>
      </c>
      <c r="D19" s="38">
        <f>SUM(D9:D18)</f>
        <v>38.42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9" t="s">
        <v>232</v>
      </c>
      <c r="B22" s="269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0" t="s">
        <v>227</v>
      </c>
      <c r="B30" s="270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2" t="s">
        <v>186</v>
      </c>
      <c r="D34" s="262"/>
      <c r="E34" s="263" t="s">
        <v>187</v>
      </c>
      <c r="F34" s="264"/>
      <c r="G34" s="264"/>
      <c r="H34" s="265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42</v>
      </c>
      <c r="C36" s="60"/>
      <c r="D36" s="60"/>
      <c r="E36" s="51"/>
      <c r="F36" s="51"/>
      <c r="G36" s="51"/>
      <c r="H36" s="51"/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105</v>
      </c>
      <c r="C37" s="60">
        <v>1</v>
      </c>
      <c r="D37" s="60">
        <v>29</v>
      </c>
      <c r="E37" s="51"/>
      <c r="F37" s="51">
        <v>0.25</v>
      </c>
      <c r="G37" s="51">
        <v>0.25</v>
      </c>
      <c r="H37" s="51">
        <v>0.5</v>
      </c>
      <c r="I37" s="53">
        <f t="shared" ref="I37:I55" si="1">IF(A37&lt;&gt;0,(B37-(B36-D36))/(A37-A36),"")</f>
        <v>6.3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158</v>
      </c>
      <c r="C38" s="60">
        <v>2</v>
      </c>
      <c r="D38" s="60">
        <v>42</v>
      </c>
      <c r="E38" s="51"/>
      <c r="F38" s="51"/>
      <c r="G38" s="51"/>
      <c r="H38" s="51"/>
      <c r="I38" s="53">
        <f t="shared" si="1"/>
        <v>8.1999999999999993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199</v>
      </c>
      <c r="C39" s="60">
        <v>3</v>
      </c>
      <c r="D39" s="60">
        <v>42</v>
      </c>
      <c r="E39" s="51"/>
      <c r="F39" s="51"/>
      <c r="G39" s="51"/>
      <c r="H39" s="51"/>
      <c r="I39" s="49">
        <f t="shared" si="1"/>
        <v>8.3000000000000007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235</v>
      </c>
      <c r="C40" s="60">
        <v>4</v>
      </c>
      <c r="D40" s="60">
        <v>42</v>
      </c>
      <c r="E40" s="51"/>
      <c r="F40" s="51"/>
      <c r="G40" s="51"/>
      <c r="H40" s="51"/>
      <c r="I40" s="49">
        <f t="shared" si="1"/>
        <v>7.8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263</v>
      </c>
      <c r="C41" s="60">
        <v>5</v>
      </c>
      <c r="D41" s="60">
        <v>42</v>
      </c>
      <c r="E41" s="51"/>
      <c r="F41" s="51"/>
      <c r="G41" s="51"/>
      <c r="H41" s="51"/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282</v>
      </c>
      <c r="C42" s="60">
        <v>6</v>
      </c>
      <c r="D42" s="60">
        <v>42</v>
      </c>
      <c r="E42" s="51"/>
      <c r="F42" s="51"/>
      <c r="G42" s="51"/>
      <c r="H42" s="51"/>
      <c r="I42" s="53">
        <f t="shared" si="1"/>
        <v>6.1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296</v>
      </c>
      <c r="C43" s="60">
        <v>7</v>
      </c>
      <c r="D43" s="60">
        <v>42</v>
      </c>
      <c r="E43" s="51"/>
      <c r="F43" s="51"/>
      <c r="G43" s="51"/>
      <c r="H43" s="51"/>
      <c r="I43" s="49">
        <f t="shared" si="1"/>
        <v>5.6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303</v>
      </c>
      <c r="C44" s="60">
        <v>8</v>
      </c>
      <c r="D44" s="60">
        <v>42</v>
      </c>
      <c r="E44" s="51"/>
      <c r="F44" s="51"/>
      <c r="G44" s="51"/>
      <c r="H44" s="51"/>
      <c r="I44" s="49">
        <f t="shared" si="1"/>
        <v>4.9000000000000004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110</v>
      </c>
      <c r="B45" s="60">
        <v>305</v>
      </c>
      <c r="C45" s="60">
        <v>9</v>
      </c>
      <c r="D45" s="60">
        <v>39</v>
      </c>
      <c r="E45" s="51"/>
      <c r="F45" s="51"/>
      <c r="G45" s="51"/>
      <c r="H45" s="51"/>
      <c r="I45" s="49">
        <f t="shared" si="1"/>
        <v>4.4000000000000004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120</v>
      </c>
      <c r="B46" s="60">
        <v>303</v>
      </c>
      <c r="C46" s="60">
        <v>10</v>
      </c>
      <c r="D46" s="60">
        <v>303</v>
      </c>
      <c r="E46" s="51"/>
      <c r="F46" s="51"/>
      <c r="G46" s="51"/>
      <c r="H46" s="51"/>
      <c r="I46" s="49">
        <f t="shared" si="1"/>
        <v>3.7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2" t="s">
        <v>186</v>
      </c>
      <c r="D60" s="262"/>
      <c r="E60" s="263" t="s">
        <v>187</v>
      </c>
      <c r="F60" s="264"/>
      <c r="G60" s="264"/>
      <c r="H60" s="265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42</v>
      </c>
      <c r="C62" s="60"/>
      <c r="D62" s="60"/>
      <c r="E62" s="51"/>
      <c r="F62" s="51"/>
      <c r="G62" s="51"/>
      <c r="H62" s="51"/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105</v>
      </c>
      <c r="C63" s="60">
        <v>1</v>
      </c>
      <c r="D63" s="60">
        <v>29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6.3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158</v>
      </c>
      <c r="C64" s="60">
        <v>2</v>
      </c>
      <c r="D64" s="60">
        <v>42</v>
      </c>
      <c r="E64" s="51"/>
      <c r="F64" s="51"/>
      <c r="G64" s="51"/>
      <c r="H64" s="51"/>
      <c r="I64" s="49">
        <f>IF(A64&lt;&gt;0,(B64-(B63-D63))/(A64-A63),"")</f>
        <v>8.1999999999999993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199</v>
      </c>
      <c r="C65" s="60">
        <v>3</v>
      </c>
      <c r="D65" s="60">
        <v>42</v>
      </c>
      <c r="E65" s="51"/>
      <c r="F65" s="51"/>
      <c r="G65" s="51"/>
      <c r="H65" s="51"/>
      <c r="I65" s="49">
        <f>IF(A65&lt;&gt;0,(B65-(B64-D64))/(A65-A64),"")</f>
        <v>8.3000000000000007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235</v>
      </c>
      <c r="C66" s="60">
        <v>4</v>
      </c>
      <c r="D66" s="60">
        <v>42</v>
      </c>
      <c r="E66" s="51"/>
      <c r="F66" s="51"/>
      <c r="G66" s="51"/>
      <c r="H66" s="51"/>
      <c r="I66" s="49">
        <f t="shared" ref="I66:I81" si="2">IF(A66&lt;&gt;0,(B66-(B65-D65))/(A66-A65),"")</f>
        <v>7.8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263</v>
      </c>
      <c r="C67" s="60">
        <v>5</v>
      </c>
      <c r="D67" s="60">
        <v>42</v>
      </c>
      <c r="E67" s="51"/>
      <c r="F67" s="51"/>
      <c r="G67" s="51"/>
      <c r="H67" s="51"/>
      <c r="I67" s="49">
        <f t="shared" si="2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282</v>
      </c>
      <c r="C68" s="60">
        <v>6</v>
      </c>
      <c r="D68" s="60">
        <v>42</v>
      </c>
      <c r="E68" s="51"/>
      <c r="F68" s="51"/>
      <c r="G68" s="51"/>
      <c r="H68" s="51"/>
      <c r="I68" s="49">
        <f t="shared" si="2"/>
        <v>6.1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v>296</v>
      </c>
      <c r="C69" s="50">
        <v>7</v>
      </c>
      <c r="D69" s="50">
        <v>42</v>
      </c>
      <c r="E69" s="51"/>
      <c r="F69" s="51"/>
      <c r="G69" s="51"/>
      <c r="H69" s="51"/>
      <c r="I69" s="49">
        <f t="shared" si="2"/>
        <v>5.6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v>303</v>
      </c>
      <c r="C70" s="50">
        <v>8</v>
      </c>
      <c r="D70" s="50">
        <v>42</v>
      </c>
      <c r="E70" s="51"/>
      <c r="F70" s="51"/>
      <c r="G70" s="51"/>
      <c r="H70" s="51"/>
      <c r="I70" s="49">
        <f t="shared" si="2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v>305</v>
      </c>
      <c r="C71" s="50">
        <v>9</v>
      </c>
      <c r="D71" s="50">
        <v>39</v>
      </c>
      <c r="E71" s="51"/>
      <c r="F71" s="51"/>
      <c r="G71" s="51"/>
      <c r="H71" s="51"/>
      <c r="I71" s="49">
        <f t="shared" si="2"/>
        <v>4.4000000000000004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v>303</v>
      </c>
      <c r="C72" s="50">
        <v>10</v>
      </c>
      <c r="D72" s="50">
        <v>303</v>
      </c>
      <c r="E72" s="51"/>
      <c r="F72" s="51"/>
      <c r="G72" s="51"/>
      <c r="H72" s="51"/>
      <c r="I72" s="49">
        <f t="shared" si="2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2" t="s">
        <v>186</v>
      </c>
      <c r="D86" s="262"/>
      <c r="E86" s="263" t="s">
        <v>187</v>
      </c>
      <c r="F86" s="264"/>
      <c r="G86" s="264"/>
      <c r="H86" s="265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158</v>
      </c>
      <c r="C88" s="60">
        <v>1</v>
      </c>
      <c r="D88" s="60">
        <v>12.5</v>
      </c>
      <c r="E88" s="51"/>
      <c r="F88" s="51">
        <v>0.5</v>
      </c>
      <c r="G88" s="51">
        <v>0.5</v>
      </c>
      <c r="H88" s="87"/>
      <c r="I88" s="53">
        <f>IFERROR(B88/A88,"")</f>
        <v>7.9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237.5</v>
      </c>
      <c r="C89" s="60">
        <v>2</v>
      </c>
      <c r="D89" s="60">
        <v>45.9</v>
      </c>
      <c r="E89" s="51">
        <v>0.2</v>
      </c>
      <c r="F89" s="51">
        <v>0.4</v>
      </c>
      <c r="G89" s="51">
        <v>0.4</v>
      </c>
      <c r="H89" s="87"/>
      <c r="I89" s="53">
        <f t="shared" ref="I89:I107" si="3">IF(A89&lt;&gt;0,(B89-(B88-D88))/(A89-A88),"")</f>
        <v>9.1999999999999993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291.60000000000002</v>
      </c>
      <c r="C90" s="60">
        <v>3</v>
      </c>
      <c r="D90" s="60">
        <v>83.4</v>
      </c>
      <c r="E90" s="87"/>
      <c r="F90" s="87"/>
      <c r="G90" s="87"/>
      <c r="H90" s="87"/>
      <c r="I90" s="53">
        <f t="shared" si="3"/>
        <v>10.000000000000004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323.2</v>
      </c>
      <c r="C91" s="60">
        <v>4</v>
      </c>
      <c r="D91" s="60">
        <v>83.4</v>
      </c>
      <c r="E91" s="87"/>
      <c r="F91" s="87"/>
      <c r="G91" s="87"/>
      <c r="H91" s="87"/>
      <c r="I91" s="53">
        <f t="shared" si="3"/>
        <v>11.499999999999996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374.79999999999995</v>
      </c>
      <c r="C92" s="60">
        <v>5</v>
      </c>
      <c r="D92" s="60">
        <v>83.4</v>
      </c>
      <c r="E92" s="87"/>
      <c r="F92" s="87"/>
      <c r="G92" s="87"/>
      <c r="H92" s="87"/>
      <c r="I92" s="53">
        <f t="shared" si="3"/>
        <v>13.499999999999996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446.4</v>
      </c>
      <c r="C93" s="60">
        <v>6</v>
      </c>
      <c r="D93" s="60">
        <v>83.4</v>
      </c>
      <c r="E93" s="87"/>
      <c r="F93" s="87"/>
      <c r="G93" s="87"/>
      <c r="H93" s="87"/>
      <c r="I93" s="53">
        <f t="shared" si="3"/>
        <v>15.5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v>533</v>
      </c>
      <c r="C94" s="60">
        <v>7</v>
      </c>
      <c r="D94" s="60">
        <v>83.4</v>
      </c>
      <c r="E94" s="87"/>
      <c r="F94" s="87"/>
      <c r="G94" s="87"/>
      <c r="H94" s="87"/>
      <c r="I94" s="53">
        <f t="shared" si="3"/>
        <v>17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v>624.6</v>
      </c>
      <c r="C95" s="60">
        <v>8</v>
      </c>
      <c r="D95" s="60">
        <v>83.4</v>
      </c>
      <c r="E95" s="87"/>
      <c r="F95" s="87"/>
      <c r="G95" s="87"/>
      <c r="H95" s="87"/>
      <c r="I95" s="53">
        <f t="shared" si="3"/>
        <v>17.5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v>726.2</v>
      </c>
      <c r="C96" s="60">
        <v>9</v>
      </c>
      <c r="D96" s="60">
        <v>726.2</v>
      </c>
      <c r="E96" s="87"/>
      <c r="F96" s="87"/>
      <c r="G96" s="87"/>
      <c r="H96" s="87"/>
      <c r="I96" s="53">
        <f t="shared" si="3"/>
        <v>18.5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Cormier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2" t="s">
        <v>186</v>
      </c>
      <c r="D112" s="262"/>
      <c r="E112" s="263" t="s">
        <v>187</v>
      </c>
      <c r="F112" s="264"/>
      <c r="G112" s="264"/>
      <c r="H112" s="265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42</v>
      </c>
      <c r="C114" s="50"/>
      <c r="D114" s="60"/>
      <c r="E114" s="51"/>
      <c r="F114" s="51"/>
      <c r="G114" s="51"/>
      <c r="H114" s="51"/>
      <c r="I114" s="53">
        <f>IFERROR(B114/A114,"")</f>
        <v>2.1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105</v>
      </c>
      <c r="C115" s="50">
        <v>1</v>
      </c>
      <c r="D115" s="60">
        <v>29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6.3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v>158</v>
      </c>
      <c r="C116" s="50">
        <v>2</v>
      </c>
      <c r="D116" s="60">
        <v>42</v>
      </c>
      <c r="E116" s="51"/>
      <c r="F116" s="51"/>
      <c r="G116" s="51"/>
      <c r="H116" s="51"/>
      <c r="I116" s="53">
        <f t="shared" si="4"/>
        <v>8.1999999999999993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v>199</v>
      </c>
      <c r="C117" s="50">
        <v>3</v>
      </c>
      <c r="D117" s="60">
        <v>42</v>
      </c>
      <c r="E117" s="51"/>
      <c r="F117" s="51"/>
      <c r="G117" s="51"/>
      <c r="H117" s="51"/>
      <c r="I117" s="53">
        <f t="shared" si="4"/>
        <v>8.3000000000000007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v>235</v>
      </c>
      <c r="C118" s="50">
        <v>4</v>
      </c>
      <c r="D118" s="60">
        <v>42</v>
      </c>
      <c r="E118" s="51"/>
      <c r="F118" s="51"/>
      <c r="G118" s="51"/>
      <c r="H118" s="51"/>
      <c r="I118" s="53">
        <f t="shared" si="4"/>
        <v>7.8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v>263</v>
      </c>
      <c r="C119" s="50">
        <v>5</v>
      </c>
      <c r="D119" s="60">
        <v>42</v>
      </c>
      <c r="E119" s="51"/>
      <c r="F119" s="51"/>
      <c r="G119" s="51"/>
      <c r="H119" s="51"/>
      <c r="I119" s="53">
        <f t="shared" si="4"/>
        <v>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v>282</v>
      </c>
      <c r="C120" s="60">
        <v>6</v>
      </c>
      <c r="D120" s="60">
        <v>42</v>
      </c>
      <c r="E120" s="87"/>
      <c r="F120" s="87"/>
      <c r="G120" s="87"/>
      <c r="H120" s="87"/>
      <c r="I120" s="53">
        <f t="shared" si="4"/>
        <v>6.1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90</v>
      </c>
      <c r="B121" s="60">
        <v>296</v>
      </c>
      <c r="C121" s="60">
        <v>7</v>
      </c>
      <c r="D121" s="60">
        <v>42</v>
      </c>
      <c r="E121" s="87"/>
      <c r="F121" s="87"/>
      <c r="G121" s="87"/>
      <c r="H121" s="87"/>
      <c r="I121" s="53">
        <f t="shared" si="4"/>
        <v>5.6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100</v>
      </c>
      <c r="B122" s="60">
        <v>303</v>
      </c>
      <c r="C122" s="60">
        <v>8</v>
      </c>
      <c r="D122" s="60">
        <v>42</v>
      </c>
      <c r="E122" s="87"/>
      <c r="F122" s="87"/>
      <c r="G122" s="87"/>
      <c r="H122" s="87"/>
      <c r="I122" s="53">
        <f t="shared" si="4"/>
        <v>4.9000000000000004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110</v>
      </c>
      <c r="B123" s="60">
        <v>305</v>
      </c>
      <c r="C123" s="60">
        <v>9</v>
      </c>
      <c r="D123" s="60">
        <v>39</v>
      </c>
      <c r="E123" s="87"/>
      <c r="F123" s="87"/>
      <c r="G123" s="87"/>
      <c r="H123" s="87"/>
      <c r="I123" s="53">
        <f t="shared" si="4"/>
        <v>4.4000000000000004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120</v>
      </c>
      <c r="B124" s="60">
        <v>303</v>
      </c>
      <c r="C124" s="60">
        <v>10</v>
      </c>
      <c r="D124" s="60">
        <v>303</v>
      </c>
      <c r="E124" s="87"/>
      <c r="F124" s="87"/>
      <c r="G124" s="87"/>
      <c r="H124" s="87"/>
      <c r="I124" s="53">
        <f t="shared" si="4"/>
        <v>3.7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Tilleul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2" t="s">
        <v>186</v>
      </c>
      <c r="D138" s="262"/>
      <c r="E138" s="263" t="s">
        <v>187</v>
      </c>
      <c r="F138" s="264"/>
      <c r="G138" s="264"/>
      <c r="H138" s="265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20</v>
      </c>
      <c r="B140" s="60">
        <v>95</v>
      </c>
      <c r="C140" s="50">
        <v>1</v>
      </c>
      <c r="D140" s="60">
        <v>43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4.75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30</v>
      </c>
      <c r="B141" s="60">
        <v>174</v>
      </c>
      <c r="C141" s="50">
        <v>2</v>
      </c>
      <c r="D141" s="60">
        <v>56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12.2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40</v>
      </c>
      <c r="B142" s="60">
        <v>220</v>
      </c>
      <c r="C142" s="50">
        <v>3</v>
      </c>
      <c r="D142" s="60">
        <v>56</v>
      </c>
      <c r="E142" s="51"/>
      <c r="F142" s="51"/>
      <c r="G142" s="51"/>
      <c r="H142" s="51"/>
      <c r="I142" s="57">
        <f t="shared" si="5"/>
        <v>10.199999999999999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50</v>
      </c>
      <c r="B143" s="60">
        <v>241</v>
      </c>
      <c r="C143" s="50">
        <v>4</v>
      </c>
      <c r="D143" s="60">
        <v>39</v>
      </c>
      <c r="E143" s="51"/>
      <c r="F143" s="51"/>
      <c r="G143" s="51"/>
      <c r="H143" s="51"/>
      <c r="I143" s="57">
        <f t="shared" si="5"/>
        <v>7.7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60</v>
      </c>
      <c r="B144" s="60">
        <v>258</v>
      </c>
      <c r="C144" s="50">
        <v>5</v>
      </c>
      <c r="D144" s="60">
        <v>25</v>
      </c>
      <c r="E144" s="51"/>
      <c r="F144" s="51"/>
      <c r="G144" s="51"/>
      <c r="H144" s="51"/>
      <c r="I144" s="57">
        <f t="shared" si="5"/>
        <v>5.6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70</v>
      </c>
      <c r="B145" s="60">
        <v>274</v>
      </c>
      <c r="C145" s="50">
        <v>6</v>
      </c>
      <c r="D145" s="60">
        <v>21</v>
      </c>
      <c r="E145" s="51"/>
      <c r="F145" s="51"/>
      <c r="G145" s="51"/>
      <c r="H145" s="51"/>
      <c r="I145" s="57">
        <f t="shared" si="5"/>
        <v>4.0999999999999996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80</v>
      </c>
      <c r="B146" s="60">
        <v>284</v>
      </c>
      <c r="C146" s="50">
        <v>7</v>
      </c>
      <c r="D146" s="60">
        <v>284</v>
      </c>
      <c r="E146" s="51"/>
      <c r="F146" s="51"/>
      <c r="G146" s="51"/>
      <c r="H146" s="51"/>
      <c r="I146" s="57">
        <f t="shared" si="5"/>
        <v>3.1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Robinier faux-acacia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2" t="s">
        <v>186</v>
      </c>
      <c r="D164" s="262"/>
      <c r="E164" s="263" t="s">
        <v>187</v>
      </c>
      <c r="F164" s="264"/>
      <c r="G164" s="264"/>
      <c r="H164" s="265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60">
        <v>5</v>
      </c>
      <c r="B166" s="60">
        <v>42</v>
      </c>
      <c r="C166" s="60">
        <v>1</v>
      </c>
      <c r="D166" s="60">
        <v>13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8.4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60">
        <v>10</v>
      </c>
      <c r="B167" s="60">
        <v>112</v>
      </c>
      <c r="C167" s="60">
        <v>2</v>
      </c>
      <c r="D167" s="60">
        <v>41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16.600000000000001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60">
        <v>15</v>
      </c>
      <c r="B168" s="60">
        <v>142</v>
      </c>
      <c r="C168" s="60">
        <v>3</v>
      </c>
      <c r="D168" s="60">
        <v>28</v>
      </c>
      <c r="E168" s="51"/>
      <c r="F168" s="51">
        <v>0.25</v>
      </c>
      <c r="G168" s="51">
        <v>0.25</v>
      </c>
      <c r="H168" s="51">
        <v>0.5</v>
      </c>
      <c r="I168" s="49">
        <f t="shared" si="6"/>
        <v>14.2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60">
        <v>20</v>
      </c>
      <c r="B169" s="60">
        <v>170</v>
      </c>
      <c r="C169" s="60">
        <v>4</v>
      </c>
      <c r="D169" s="60">
        <v>20</v>
      </c>
      <c r="E169" s="51">
        <v>0.1</v>
      </c>
      <c r="F169" s="51">
        <v>0.45</v>
      </c>
      <c r="G169" s="51">
        <v>0.45</v>
      </c>
      <c r="H169" s="51"/>
      <c r="I169" s="49">
        <f t="shared" si="6"/>
        <v>11.2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60">
        <v>25</v>
      </c>
      <c r="B170" s="60">
        <v>193</v>
      </c>
      <c r="C170" s="60">
        <v>5</v>
      </c>
      <c r="D170" s="60">
        <v>14</v>
      </c>
      <c r="E170" s="51">
        <v>0.2</v>
      </c>
      <c r="F170" s="51">
        <v>0.4</v>
      </c>
      <c r="G170" s="51">
        <v>0.4</v>
      </c>
      <c r="H170" s="51"/>
      <c r="I170" s="49">
        <f t="shared" si="6"/>
        <v>8.6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60">
        <v>30</v>
      </c>
      <c r="B171" s="60">
        <v>213</v>
      </c>
      <c r="C171" s="60">
        <v>6</v>
      </c>
      <c r="D171" s="60">
        <v>11</v>
      </c>
      <c r="E171" s="51">
        <v>0.3</v>
      </c>
      <c r="F171" s="51">
        <v>0.35</v>
      </c>
      <c r="G171" s="51">
        <v>0.35</v>
      </c>
      <c r="H171" s="51"/>
      <c r="I171" s="49">
        <f t="shared" si="6"/>
        <v>6.8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60">
        <v>35</v>
      </c>
      <c r="B172" s="60">
        <v>228</v>
      </c>
      <c r="C172" s="60">
        <v>7</v>
      </c>
      <c r="D172" s="60">
        <v>228</v>
      </c>
      <c r="E172" s="51"/>
      <c r="F172" s="51"/>
      <c r="G172" s="51"/>
      <c r="H172" s="51"/>
      <c r="I172" s="49">
        <f t="shared" si="6"/>
        <v>5.2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Douglas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2" t="s">
        <v>186</v>
      </c>
      <c r="D190" s="262"/>
      <c r="E190" s="263" t="s">
        <v>187</v>
      </c>
      <c r="F190" s="264"/>
      <c r="G190" s="264"/>
      <c r="H190" s="265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257">
        <v>10</v>
      </c>
      <c r="B192" s="257">
        <v>12</v>
      </c>
      <c r="C192" s="257"/>
      <c r="D192" s="257">
        <v>0</v>
      </c>
      <c r="E192" s="63"/>
      <c r="F192" s="63"/>
      <c r="G192" s="63"/>
      <c r="H192" s="258"/>
      <c r="I192" s="49">
        <f>IFERROR(B192/A192,"")</f>
        <v>1.2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257">
        <v>20</v>
      </c>
      <c r="B193" s="257">
        <v>162</v>
      </c>
      <c r="C193" s="257">
        <v>1</v>
      </c>
      <c r="D193" s="257">
        <f>7+56</f>
        <v>63</v>
      </c>
      <c r="E193" s="63"/>
      <c r="F193" s="63">
        <v>0.5</v>
      </c>
      <c r="G193" s="63">
        <v>0.5</v>
      </c>
      <c r="H193" s="258"/>
      <c r="I193" s="49">
        <f t="shared" ref="I193:I211" si="7">IF(A193&lt;&gt;0,(B193-(B192-D192))/(A193-A192),"")</f>
        <v>15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257">
        <v>30</v>
      </c>
      <c r="B194" s="257">
        <v>321</v>
      </c>
      <c r="C194" s="257">
        <v>2</v>
      </c>
      <c r="D194" s="257">
        <f>56+56</f>
        <v>112</v>
      </c>
      <c r="E194" s="63">
        <v>0.1</v>
      </c>
      <c r="F194" s="63">
        <v>0.45</v>
      </c>
      <c r="G194" s="63">
        <v>0.45</v>
      </c>
      <c r="H194" s="258"/>
      <c r="I194" s="49">
        <f t="shared" si="7"/>
        <v>22.2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257">
        <v>40</v>
      </c>
      <c r="B195" s="257">
        <v>429</v>
      </c>
      <c r="C195" s="257">
        <v>3</v>
      </c>
      <c r="D195" s="257">
        <f>56+56</f>
        <v>112</v>
      </c>
      <c r="E195" s="63"/>
      <c r="F195" s="63"/>
      <c r="G195" s="63"/>
      <c r="H195" s="258"/>
      <c r="I195" s="49">
        <f t="shared" si="7"/>
        <v>22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257">
        <v>50</v>
      </c>
      <c r="B196" s="257">
        <v>509</v>
      </c>
      <c r="C196" s="257">
        <v>4</v>
      </c>
      <c r="D196" s="257">
        <f>56+52</f>
        <v>108</v>
      </c>
      <c r="E196" s="63"/>
      <c r="F196" s="63"/>
      <c r="G196" s="63"/>
      <c r="H196" s="258"/>
      <c r="I196" s="49">
        <f t="shared" si="7"/>
        <v>19.2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257">
        <v>60</v>
      </c>
      <c r="B197" s="257">
        <v>563</v>
      </c>
      <c r="C197" s="257">
        <v>5</v>
      </c>
      <c r="D197" s="257">
        <f>44+39</f>
        <v>83</v>
      </c>
      <c r="E197" s="63"/>
      <c r="F197" s="63"/>
      <c r="G197" s="63"/>
      <c r="H197" s="258"/>
      <c r="I197" s="49">
        <f t="shared" si="7"/>
        <v>16.2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257">
        <v>70</v>
      </c>
      <c r="B198" s="257">
        <v>614</v>
      </c>
      <c r="C198" s="257">
        <v>6</v>
      </c>
      <c r="D198" s="257">
        <f>35+32</f>
        <v>67</v>
      </c>
      <c r="E198" s="63"/>
      <c r="F198" s="63"/>
      <c r="G198" s="63"/>
      <c r="H198" s="258"/>
      <c r="I198" s="49">
        <f t="shared" si="7"/>
        <v>13.4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257">
        <v>80</v>
      </c>
      <c r="B199" s="257">
        <f>592+59</f>
        <v>651</v>
      </c>
      <c r="C199" s="257">
        <v>7</v>
      </c>
      <c r="D199" s="257">
        <f>B199</f>
        <v>651</v>
      </c>
      <c r="E199" s="63"/>
      <c r="F199" s="63"/>
      <c r="G199" s="63"/>
      <c r="H199" s="259"/>
      <c r="I199" s="49">
        <f t="shared" si="7"/>
        <v>10.4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Mélèze d'Europe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2" t="s">
        <v>186</v>
      </c>
      <c r="D216" s="262"/>
      <c r="E216" s="263" t="s">
        <v>187</v>
      </c>
      <c r="F216" s="264"/>
      <c r="G216" s="264"/>
      <c r="H216" s="265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20</v>
      </c>
      <c r="B218" s="60">
        <v>158</v>
      </c>
      <c r="C218" s="50">
        <v>1</v>
      </c>
      <c r="D218" s="60">
        <v>60</v>
      </c>
      <c r="E218" s="63"/>
      <c r="F218" s="63">
        <v>0.5</v>
      </c>
      <c r="G218" s="63">
        <v>0.5</v>
      </c>
      <c r="H218" s="63"/>
      <c r="I218" s="53">
        <f>IFERROR(B218/A218,"")</f>
        <v>7.9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30</v>
      </c>
      <c r="B219" s="60">
        <v>263</v>
      </c>
      <c r="C219" s="50">
        <v>2</v>
      </c>
      <c r="D219" s="60">
        <v>84</v>
      </c>
      <c r="E219" s="63">
        <v>0.2</v>
      </c>
      <c r="F219" s="63">
        <v>0.4</v>
      </c>
      <c r="G219" s="63">
        <v>0.4</v>
      </c>
      <c r="H219" s="63"/>
      <c r="I219" s="53">
        <f t="shared" ref="I219:I237" si="8">IF(A219&lt;&gt;0,(B219-(B218-D218))/(A219-A218),"")</f>
        <v>16.5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40</v>
      </c>
      <c r="B220" s="60">
        <v>330</v>
      </c>
      <c r="C220" s="50">
        <v>3</v>
      </c>
      <c r="D220" s="60">
        <v>82</v>
      </c>
      <c r="E220" s="63"/>
      <c r="F220" s="63"/>
      <c r="G220" s="63"/>
      <c r="H220" s="63"/>
      <c r="I220" s="53">
        <f t="shared" si="8"/>
        <v>15.1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50</v>
      </c>
      <c r="B221" s="55">
        <v>372</v>
      </c>
      <c r="C221" s="55">
        <v>4</v>
      </c>
      <c r="D221" s="55">
        <v>68</v>
      </c>
      <c r="E221" s="63"/>
      <c r="F221" s="63"/>
      <c r="G221" s="63"/>
      <c r="H221" s="63"/>
      <c r="I221" s="53">
        <f t="shared" si="8"/>
        <v>12.4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60</v>
      </c>
      <c r="B222" s="55">
        <v>404</v>
      </c>
      <c r="C222" s="55">
        <v>5</v>
      </c>
      <c r="D222" s="55">
        <v>55</v>
      </c>
      <c r="E222" s="63"/>
      <c r="F222" s="63"/>
      <c r="G222" s="63"/>
      <c r="H222" s="63"/>
      <c r="I222" s="53">
        <f t="shared" si="8"/>
        <v>10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70</v>
      </c>
      <c r="B223" s="55">
        <v>427</v>
      </c>
      <c r="C223" s="55">
        <v>6</v>
      </c>
      <c r="D223" s="55">
        <v>45</v>
      </c>
      <c r="E223" s="63"/>
      <c r="F223" s="63"/>
      <c r="G223" s="63"/>
      <c r="H223" s="63"/>
      <c r="I223" s="53">
        <f t="shared" si="8"/>
        <v>7.8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80</v>
      </c>
      <c r="B224" s="55">
        <v>442</v>
      </c>
      <c r="C224" s="55">
        <v>7</v>
      </c>
      <c r="D224" s="55">
        <v>442</v>
      </c>
      <c r="E224" s="63"/>
      <c r="F224" s="63"/>
      <c r="G224" s="63"/>
      <c r="H224" s="63"/>
      <c r="I224" s="53">
        <f t="shared" si="8"/>
        <v>6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Pin laricio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2" t="s">
        <v>186</v>
      </c>
      <c r="D242" s="262"/>
      <c r="E242" s="263" t="s">
        <v>187</v>
      </c>
      <c r="F242" s="264"/>
      <c r="G242" s="264"/>
      <c r="H242" s="265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60">
        <v>20</v>
      </c>
      <c r="B244" s="60">
        <v>122</v>
      </c>
      <c r="C244" s="60">
        <v>1</v>
      </c>
      <c r="D244" s="60">
        <v>23</v>
      </c>
      <c r="E244" s="51"/>
      <c r="F244" s="51">
        <v>0.5</v>
      </c>
      <c r="G244" s="51">
        <v>0.5</v>
      </c>
      <c r="H244" s="51"/>
      <c r="I244" s="53">
        <f>IFERROR(B244/A244,"")</f>
        <v>6.1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60">
        <v>30</v>
      </c>
      <c r="B245" s="60">
        <v>257</v>
      </c>
      <c r="C245" s="60">
        <v>2</v>
      </c>
      <c r="D245" s="60">
        <v>84</v>
      </c>
      <c r="E245" s="51"/>
      <c r="F245" s="51">
        <v>0.5</v>
      </c>
      <c r="G245" s="51">
        <v>0.5</v>
      </c>
      <c r="H245" s="51"/>
      <c r="I245" s="53">
        <f>IF(A245&lt;&gt;0,(B245-(B244-D244))/(A245-A244),"")</f>
        <v>15.8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60">
        <v>40</v>
      </c>
      <c r="B246" s="60">
        <v>297</v>
      </c>
      <c r="C246" s="60">
        <v>3</v>
      </c>
      <c r="D246" s="60">
        <v>84</v>
      </c>
      <c r="E246" s="51"/>
      <c r="F246" s="51"/>
      <c r="G246" s="51"/>
      <c r="H246" s="51"/>
      <c r="I246" s="53">
        <f>IF(A246&lt;&gt;0,(B246-(B245-D245))/(A246-A245),"")</f>
        <v>12.4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60">
        <v>50</v>
      </c>
      <c r="B247" s="60">
        <v>401</v>
      </c>
      <c r="C247" s="60">
        <v>4</v>
      </c>
      <c r="D247" s="60">
        <v>82</v>
      </c>
      <c r="E247" s="51"/>
      <c r="F247" s="51"/>
      <c r="G247" s="51"/>
      <c r="H247" s="51"/>
      <c r="I247" s="53">
        <f t="shared" ref="I247:I263" si="9">IF(A247&lt;&gt;0,(B247-(B246-D246))/(A247-A246),"")</f>
        <v>18.8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60">
        <v>60</v>
      </c>
      <c r="B248" s="60">
        <v>447</v>
      </c>
      <c r="C248" s="60">
        <v>5</v>
      </c>
      <c r="D248" s="60">
        <v>64</v>
      </c>
      <c r="E248" s="51"/>
      <c r="F248" s="51"/>
      <c r="G248" s="51"/>
      <c r="H248" s="51"/>
      <c r="I248" s="53">
        <f t="shared" si="9"/>
        <v>12.8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60">
        <v>70</v>
      </c>
      <c r="B249" s="60">
        <v>490</v>
      </c>
      <c r="C249" s="60">
        <v>6</v>
      </c>
      <c r="D249" s="60">
        <v>50</v>
      </c>
      <c r="E249" s="51"/>
      <c r="F249" s="51"/>
      <c r="G249" s="51"/>
      <c r="H249" s="51"/>
      <c r="I249" s="53">
        <f t="shared" si="9"/>
        <v>10.7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60">
        <v>80</v>
      </c>
      <c r="B250" s="60">
        <v>522</v>
      </c>
      <c r="C250" s="60">
        <v>7</v>
      </c>
      <c r="D250" s="60">
        <f>B250</f>
        <v>522</v>
      </c>
      <c r="E250" s="51"/>
      <c r="F250" s="51"/>
      <c r="G250" s="51"/>
      <c r="H250" s="51"/>
      <c r="I250" s="53">
        <f t="shared" si="9"/>
        <v>8.1999999999999993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Erable sycomore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2" t="s">
        <v>186</v>
      </c>
      <c r="D268" s="262"/>
      <c r="E268" s="263" t="s">
        <v>187</v>
      </c>
      <c r="F268" s="264"/>
      <c r="G268" s="264"/>
      <c r="H268" s="265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5">
        <v>20</v>
      </c>
      <c r="B270" s="55">
        <v>95</v>
      </c>
      <c r="C270" s="55">
        <v>1</v>
      </c>
      <c r="D270" s="55">
        <v>43</v>
      </c>
      <c r="E270" s="51"/>
      <c r="F270" s="51">
        <v>0.25</v>
      </c>
      <c r="G270" s="51">
        <v>0.25</v>
      </c>
      <c r="H270" s="51">
        <v>0.5</v>
      </c>
      <c r="I270" s="53">
        <f>IFERROR(B270/A270,"")</f>
        <v>4.75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5">
        <v>30</v>
      </c>
      <c r="B271" s="55">
        <v>174</v>
      </c>
      <c r="C271" s="55">
        <v>2</v>
      </c>
      <c r="D271" s="55">
        <v>56</v>
      </c>
      <c r="E271" s="51"/>
      <c r="F271" s="51">
        <v>0.25</v>
      </c>
      <c r="G271" s="51">
        <v>0.25</v>
      </c>
      <c r="H271" s="51">
        <v>0.5</v>
      </c>
      <c r="I271" s="53">
        <f>IF(A271&lt;&gt;0,(B271-(B270-D270))/(A271-A270),"")</f>
        <v>12.2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5">
        <v>40</v>
      </c>
      <c r="B272" s="55">
        <v>220</v>
      </c>
      <c r="C272" s="55">
        <v>3</v>
      </c>
      <c r="D272" s="55">
        <v>56</v>
      </c>
      <c r="E272" s="51"/>
      <c r="F272" s="51"/>
      <c r="G272" s="51"/>
      <c r="H272" s="51"/>
      <c r="I272" s="53">
        <f t="shared" ref="I272:I289" si="10">IF(A272&lt;&gt;0,(B272-(B271-D271))/(A272-A271),"")</f>
        <v>10.199999999999999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5">
        <v>50</v>
      </c>
      <c r="B273" s="55">
        <v>241</v>
      </c>
      <c r="C273" s="55">
        <v>4</v>
      </c>
      <c r="D273" s="55">
        <v>39</v>
      </c>
      <c r="E273" s="51"/>
      <c r="F273" s="51"/>
      <c r="G273" s="51"/>
      <c r="H273" s="51"/>
      <c r="I273" s="53">
        <f t="shared" si="10"/>
        <v>7.7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5">
        <v>60</v>
      </c>
      <c r="B274" s="55">
        <v>258</v>
      </c>
      <c r="C274" s="55">
        <v>5</v>
      </c>
      <c r="D274" s="55">
        <v>25</v>
      </c>
      <c r="E274" s="51"/>
      <c r="F274" s="51"/>
      <c r="G274" s="51"/>
      <c r="H274" s="51"/>
      <c r="I274" s="53">
        <f t="shared" si="10"/>
        <v>5.6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5">
        <v>70</v>
      </c>
      <c r="B275" s="55">
        <v>274</v>
      </c>
      <c r="C275" s="55">
        <v>6</v>
      </c>
      <c r="D275" s="55">
        <v>21</v>
      </c>
      <c r="E275" s="51"/>
      <c r="F275" s="51"/>
      <c r="G275" s="51"/>
      <c r="H275" s="51"/>
      <c r="I275" s="53">
        <f t="shared" si="10"/>
        <v>4.0999999999999996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5">
        <v>80</v>
      </c>
      <c r="B276" s="55">
        <v>284</v>
      </c>
      <c r="C276" s="55">
        <v>7</v>
      </c>
      <c r="D276" s="55">
        <v>284</v>
      </c>
      <c r="E276" s="51"/>
      <c r="F276" s="51"/>
      <c r="G276" s="51"/>
      <c r="H276" s="51"/>
      <c r="I276" s="53">
        <f t="shared" si="10"/>
        <v>3.1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51"/>
      <c r="F277" s="51"/>
      <c r="G277" s="51"/>
      <c r="H277" s="51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5" t="s">
        <v>191</v>
      </c>
      <c r="C2" s="276"/>
      <c r="D2" s="276"/>
      <c r="E2" s="276"/>
      <c r="F2" s="276"/>
      <c r="G2" s="277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4"/>
      <c r="C4" s="274"/>
      <c r="D4" s="274"/>
      <c r="E4" s="274"/>
      <c r="F4" s="274"/>
      <c r="G4" s="274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1" t="s">
        <v>176</v>
      </c>
      <c r="C1" s="282"/>
      <c r="D1" s="282"/>
      <c r="E1" s="282"/>
      <c r="F1" s="282"/>
      <c r="G1" s="282"/>
      <c r="H1" s="283"/>
      <c r="I1" s="278" t="str">
        <f>IF('Données projet'!$B$9="","",'Données projet'!$B$9)</f>
        <v>Chêne sessile</v>
      </c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80"/>
      <c r="AD1" s="279" t="str">
        <f>IF('Données projet'!$B$10="","",'Données projet'!$B$10)</f>
        <v>Chêne pubescent</v>
      </c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80"/>
      <c r="AY1" s="278" t="str">
        <f>IF('Données projet'!$B$11="","",'Données projet'!$B$11)</f>
        <v>Cèdre de l'Atlas</v>
      </c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80"/>
      <c r="BT1" s="278" t="str">
        <f>IF('Données projet'!$B$12="","",'Données projet'!$B$12)</f>
        <v>Cormier</v>
      </c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80"/>
      <c r="CO1" s="278" t="str">
        <f>IF('Données projet'!$B$13="","",'Données projet'!$B$13)</f>
        <v>Tilleul</v>
      </c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9"/>
      <c r="DI1" s="280"/>
      <c r="DJ1" s="278" t="str">
        <f>IF('Données projet'!$B$14="","",'Données projet'!$B$14)</f>
        <v>Robinier faux-acacia</v>
      </c>
      <c r="DK1" s="279"/>
      <c r="DL1" s="279"/>
      <c r="DM1" s="279"/>
      <c r="DN1" s="279"/>
      <c r="DO1" s="279"/>
      <c r="DP1" s="279"/>
      <c r="DQ1" s="279"/>
      <c r="DR1" s="279"/>
      <c r="DS1" s="279"/>
      <c r="DT1" s="279"/>
      <c r="DU1" s="279"/>
      <c r="DV1" s="279"/>
      <c r="DW1" s="279"/>
      <c r="DX1" s="279"/>
      <c r="DY1" s="279"/>
      <c r="DZ1" s="279"/>
      <c r="EA1" s="279"/>
      <c r="EB1" s="279"/>
      <c r="EC1" s="279"/>
      <c r="ED1" s="280"/>
      <c r="EE1" s="278" t="str">
        <f>IF('Données projet'!$B$15="","",'Données projet'!$B$15)</f>
        <v>Douglas</v>
      </c>
      <c r="EF1" s="279"/>
      <c r="EG1" s="279"/>
      <c r="EH1" s="279"/>
      <c r="EI1" s="279"/>
      <c r="EJ1" s="279"/>
      <c r="EK1" s="279"/>
      <c r="EL1" s="279"/>
      <c r="EM1" s="279"/>
      <c r="EN1" s="279"/>
      <c r="EO1" s="279"/>
      <c r="EP1" s="279"/>
      <c r="EQ1" s="279"/>
      <c r="ER1" s="279"/>
      <c r="ES1" s="279"/>
      <c r="ET1" s="279"/>
      <c r="EU1" s="279"/>
      <c r="EV1" s="279"/>
      <c r="EW1" s="279"/>
      <c r="EX1" s="279"/>
      <c r="EY1" s="280"/>
      <c r="EZ1" s="278" t="str">
        <f>IF('Données projet'!$B$16="","",'Données projet'!$B$16)</f>
        <v>Mélèze d'Europe</v>
      </c>
      <c r="FA1" s="279"/>
      <c r="FB1" s="279"/>
      <c r="FC1" s="279"/>
      <c r="FD1" s="279"/>
      <c r="FE1" s="279"/>
      <c r="FF1" s="279"/>
      <c r="FG1" s="279"/>
      <c r="FH1" s="279"/>
      <c r="FI1" s="279"/>
      <c r="FJ1" s="279"/>
      <c r="FK1" s="279"/>
      <c r="FL1" s="279"/>
      <c r="FM1" s="279"/>
      <c r="FN1" s="279"/>
      <c r="FO1" s="279"/>
      <c r="FP1" s="279"/>
      <c r="FQ1" s="279"/>
      <c r="FR1" s="279"/>
      <c r="FS1" s="279"/>
      <c r="FT1" s="280"/>
      <c r="FU1" s="278" t="str">
        <f>IF('Données projet'!$B$17="","",'Données projet'!$B$17)</f>
        <v>Pin laricio</v>
      </c>
      <c r="FV1" s="279"/>
      <c r="FW1" s="279"/>
      <c r="FX1" s="279"/>
      <c r="FY1" s="279"/>
      <c r="FZ1" s="279"/>
      <c r="GA1" s="279"/>
      <c r="GB1" s="279"/>
      <c r="GC1" s="279"/>
      <c r="GD1" s="279"/>
      <c r="GE1" s="279"/>
      <c r="GF1" s="279"/>
      <c r="GG1" s="279"/>
      <c r="GH1" s="279"/>
      <c r="GI1" s="279"/>
      <c r="GJ1" s="279"/>
      <c r="GK1" s="279"/>
      <c r="GL1" s="279"/>
      <c r="GM1" s="279"/>
      <c r="GN1" s="279"/>
      <c r="GO1" s="280"/>
      <c r="GP1" s="278" t="str">
        <f>IF('Données projet'!$B$18="","",'Données projet'!$B$18)</f>
        <v>Erable sycomore</v>
      </c>
      <c r="GQ1" s="279"/>
      <c r="GR1" s="279"/>
      <c r="GS1" s="279"/>
      <c r="GT1" s="279"/>
      <c r="GU1" s="279"/>
      <c r="GV1" s="279"/>
      <c r="GW1" s="279"/>
      <c r="GX1" s="279"/>
      <c r="GY1" s="279"/>
      <c r="GZ1" s="279"/>
      <c r="HA1" s="279"/>
      <c r="HB1" s="279"/>
      <c r="HC1" s="279"/>
      <c r="HD1" s="279"/>
      <c r="HE1" s="279"/>
      <c r="HF1" s="279"/>
      <c r="HG1" s="279"/>
      <c r="HH1" s="279"/>
      <c r="HI1" s="279"/>
      <c r="HJ1" s="280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237.22177246688199</v>
      </c>
      <c r="T3" s="59">
        <f>IF('Données projet'!E9&gt;30,$R$33-$H$33,LOOKUP('Données projet'!$E$9,$A$3:$A$203,R3:R203)-LOOKUP('Données projet'!$E$9,$A$3:$A$203,$H$3:$H$203))</f>
        <v>149.27472147904302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279.20364724206644</v>
      </c>
      <c r="AO3" s="59">
        <f>IF('Données projet'!E10&gt;30,$AM$33-$H$33,LOOKUP('Données projet'!$E$10,$A$3:$A$203,AM3:AM203)-LOOKUP('Données projet'!$E$10,$A$3:$A$203,$H$3:$H$203))</f>
        <v>173.99850582760712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215.23235148064941</v>
      </c>
      <c r="BJ3" s="59">
        <f>IF('Données projet'!E11&gt;30,$BH$33-$H$33,LOOKUP('Données projet'!$E$11,$A$3:$A$203,BH3:BH203)-LOOKUP('Données projet'!$E$11,$A$3:$A$203,$H$3:$H$203))</f>
        <v>184.07239726900434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303.1504619632214</v>
      </c>
      <c r="CE3" s="59">
        <f>IF('Données projet'!E12&gt;30,$CC$33-$H$33,LOOKUP('Données projet'!$E$12,$A$3:$A$203,CC3:CC203)-LOOKUP('Données projet'!$E$12,$A$3:$A$203,$H$3:$H$203))</f>
        <v>188.09929616366503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156.63226020379989</v>
      </c>
      <c r="CZ3" s="59">
        <f>IF('Données projet'!E13&gt;30,$CX$33-$H$33,LOOKUP('Données projet'!$E$13,$A$3:$A$203,CX3:CX203)-LOOKUP('Données projet'!$E$13,$A$3:$A$203,$H$3:$H$203))</f>
        <v>196.0481096619543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225.28075317732998</v>
      </c>
      <c r="DU3" s="59">
        <f>IF('Données projet'!E14&gt;30,$DS$33-$H$33,LOOKUP('Données projet'!$E$14,$A$3:$A$203,DS3:DS203)-LOOKUP('Données projet'!$E$14,$A$3:$A$203,$H$3:$H$203))</f>
        <v>358.43407531256207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326.31232746914907</v>
      </c>
      <c r="EP3" s="59">
        <f>IF('Données projet'!E15&gt;30,$EN$33-$H$33,LOOKUP('Données projet'!$E$15,$A$3:$A$203,EN3:EN203)-LOOKUP('Données projet'!$E$15,$A$3:$A$203,$H$3:$H$203))</f>
        <v>330.17137761430297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255.41017495879987</v>
      </c>
      <c r="FK3" s="59">
        <f>IF('Données projet'!E16&gt;30,$FI$33-$H$33,LOOKUP('Données projet'!$E$16,$A$3:$A$203,FI3:FI203)-LOOKUP('Données projet'!$E$16,$A$3:$A$203,$H$3:$H$203))</f>
        <v>297.50513563712764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259.30247982593914</v>
      </c>
      <c r="GF3" s="59">
        <f>IF('Données projet'!E17&gt;30,$GD$33-$H$33,LOOKUP('Données projet'!$E$17,$A$3:$A$203,GD3:GD203)-LOOKUP('Données projet'!$E$17,$A$3:$A$203,$H$3:$H$203))</f>
        <v>275.24740346220779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199.58763537752952</v>
      </c>
      <c r="HA3" s="59">
        <f>IF('Données projet'!E18&gt;30,$GY$33-$H$33,LOOKUP('Données projet'!$E$18,$A$3:$A$203,GY3:GY203)-LOOKUP('Données projet'!$E$18,$A$3:$A$203,$H$3:$H$203))</f>
        <v>242.62852778451929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296.09965856715894</v>
      </c>
      <c r="S4" s="59">
        <f ca="1">AVERAGE(OFFSET($R$3,0,0,'Données projet'!$E$9+1,1))-AVERAGE(OFFSET($H$3,0,0,'Données projet'!$E$9+1,1))</f>
        <v>237.22177246688199</v>
      </c>
      <c r="T4" s="59">
        <f>$T$3</f>
        <v>149.27472147904302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1.2223636300497438</v>
      </c>
      <c r="AK4" s="13">
        <f>EXP(-1.0587+0.8836*LN(AJ4)+0.284)</f>
        <v>0.55030360208821416</v>
      </c>
      <c r="AL4" s="20">
        <f t="shared" ref="AL4:AL67" si="4">(AJ4+AK4)*0.475*44/12</f>
        <v>3.0873954293069432</v>
      </c>
      <c r="AM4" s="59">
        <f t="shared" ref="AM4:AM67" si="5">AL4+(AD4+AE4)*44/12</f>
        <v>296.42072876264024</v>
      </c>
      <c r="AN4" s="59">
        <f ca="1">AVERAGE(OFFSET($AM$3,0,0,'Données projet'!$E$10+1,1))-AVERAGE(OFFSET($H$3,0,0,'Données projet'!$E$10+1,1))</f>
        <v>279.20364724206644</v>
      </c>
      <c r="AO4" s="59">
        <f>$AO$3</f>
        <v>173.99850582760712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7.9</v>
      </c>
      <c r="BD4" s="12">
        <f>IF('Données projet'!$A$88&gt;35,BD3+BC4-BL3,IF(A4&lt;'Données projet'!$A$88,$BA$205^A4,IF(A4='Données projet'!$A$88,'Données projet'!$B$88,BD3+BC4-BL3)))</f>
        <v>1.2880503926580862</v>
      </c>
      <c r="BE4" s="13">
        <f>BD4*VLOOKUP('Données projet'!$B$11,Paramètres!$A$1:$I$89,3,0)*VLOOKUP('Données projet'!$B$11,Paramètres!$A$1:$I$89,5,0)</f>
        <v>0.60280758376398436</v>
      </c>
      <c r="BF4" s="13">
        <f>EXP(-1.0587+0.8836*LN(BE4)+0.284)</f>
        <v>0.29465781953181042</v>
      </c>
      <c r="BG4" s="20">
        <f t="shared" ref="BG4:BG67" si="7">(BE4+BF4)*0.475*44/12</f>
        <v>1.5630855774068424</v>
      </c>
      <c r="BH4" s="59">
        <f t="shared" ref="BH4:BH67" si="8">BG4+(AY4+AZ4)*44/12</f>
        <v>294.89641891074018</v>
      </c>
      <c r="BI4" s="59">
        <f ca="1">AVERAGE(OFFSET($BH$3,0,0,'Données projet'!$E$11+1,1))-AVERAGE(OFFSET($H$3,0,0,'Données projet'!$E$11+1,1))</f>
        <v>215.23235148064941</v>
      </c>
      <c r="BJ4" s="59">
        <f>$BJ$3</f>
        <v>184.07239726900434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</v>
      </c>
      <c r="BY4" s="12">
        <f>IF('Données projet'!$A$114&gt;35,BY3+BX4-CG3,IF(A4&lt;'Données projet'!$A$114,$BV$205^A4,IF(A4='Données projet'!$A$114,'Données projet'!$B$114,BY3+BX4-CG3)))</f>
        <v>1.2054868146447177</v>
      </c>
      <c r="BZ4" s="13">
        <f>BY4*VLOOKUP('Données projet'!$B$12,Paramètres!$A$1:$I$89,3,0)*VLOOKUP('Données projet'!$B$12,Paramètres!$A$1:$I$89,5,0)</f>
        <v>1.2975860072835741</v>
      </c>
      <c r="CA4" s="13">
        <f>EXP(-1.0587+0.8836*LN(BZ4)+0.284)</f>
        <v>0.58012177912374829</v>
      </c>
      <c r="CB4" s="20">
        <f t="shared" ref="CB4:CB67" si="10">(BZ4+CA4)*0.475*44/12</f>
        <v>3.2703410613260862</v>
      </c>
      <c r="CC4" s="59">
        <f t="shared" ref="CC4:CC67" si="11">CB4+(BT4+BU4)*44/12</f>
        <v>296.60367439465938</v>
      </c>
      <c r="CD4" s="59">
        <f ca="1">AVERAGE(OFFSET($CC$3,0,0,'Données projet'!$E$12+1,1))-AVERAGE(OFFSET($H$3,0,0,'Données projet'!$E$12+1,1))</f>
        <v>303.1504619632214</v>
      </c>
      <c r="CE4" s="59">
        <f>$CE$3</f>
        <v>188.09929616366503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4.75</v>
      </c>
      <c r="CT4" s="12">
        <f>IF('Données projet'!$A$140&gt;35,CT3+CS4-DB3,IF(A4&lt;'Données projet'!$A$140,$CQ$205^A4,IF(A4='Données projet'!$A$140,'Données projet'!$B$140,CT3+CS4-DB3)))</f>
        <v>1.2557008269631629</v>
      </c>
      <c r="CU4" s="17">
        <f>CT4*VLOOKUP('Données projet'!$B$13,Paramètres!$A$1:$I$89,3,0)*VLOOKUP('Données projet'!$B$13,Paramètres!$A$1:$I$89,5,0)</f>
        <v>0.84232411472688973</v>
      </c>
      <c r="CV4" s="13">
        <f>EXP(-1.0587+0.8836*LN(CU4)+0.284)</f>
        <v>0.39600941950779012</v>
      </c>
      <c r="CW4" s="20">
        <f t="shared" ref="CW4:CW67" si="13">(CU4+CV4)*0.475*44/12</f>
        <v>2.1567642387920674</v>
      </c>
      <c r="CX4" s="59">
        <f t="shared" ref="CX4:CX67" si="14">CW4+(CO4+CP4)*44/12</f>
        <v>295.49009757212536</v>
      </c>
      <c r="CY4" s="59">
        <f ca="1">AVERAGE(OFFSET($CX$3,0,0,'Données projet'!$E$13+1,1))-AVERAGE(OFFSET($H$3,0,0,'Données projet'!$E$13+1,1))</f>
        <v>156.63226020379989</v>
      </c>
      <c r="CZ4" s="59">
        <f>$CZ$3</f>
        <v>196.0481096619543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8.4</v>
      </c>
      <c r="DO4" s="12">
        <f>IF('Données projet'!$A$166&gt;35,DO3+DN4-DW3,IF(A4&lt;'Données projet'!$A$166,$DL$205^A4,IF(A4='Données projet'!$A$166,'Données projet'!$B$166,DO3+DN4-DW3)))</f>
        <v>2.1117857649667542</v>
      </c>
      <c r="DP4" s="17">
        <f>DO4*VLOOKUP('Données projet'!$B$14,Paramètres!$A$1:$I$89,3,0)*VLOOKUP('Données projet'!$B$14,Paramètres!$A$1:$I$89,5,0)</f>
        <v>1.910743760141919</v>
      </c>
      <c r="DQ4" s="13">
        <f>EXP(-1.0587+0.8836*LN(DP4)+0.284)</f>
        <v>0.81662477151702273</v>
      </c>
      <c r="DR4" s="20">
        <f t="shared" ref="DR4:DR67" si="16">(DP4+DQ4)*0.475*44/12</f>
        <v>4.7501668593059909</v>
      </c>
      <c r="DS4" s="59">
        <f t="shared" ref="DS4:DS67" si="17">DR4+(DJ4+DK4)*44/12</f>
        <v>298.08350019263929</v>
      </c>
      <c r="DT4" s="59">
        <f ca="1">AVERAGE(OFFSET($DS$3,0,0,'Données projet'!$E$14+1,1))-AVERAGE(OFFSET($H$3,0,0,'Données projet'!$E$14+1,1))</f>
        <v>225.28075317732998</v>
      </c>
      <c r="DU4" s="59">
        <f>$DU$3</f>
        <v>358.43407531256207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1.2</v>
      </c>
      <c r="EJ4" s="12">
        <f>IF('Données projet'!$A$192&gt;35,EJ3+EI4-ER3,IF(A4&lt;'Données projet'!$A$192,$EG$205^A4,IF(A4='Données projet'!$A$192,'Données projet'!$B$192,EJ3+EI4-ER3)))</f>
        <v>1.2820888539868154</v>
      </c>
      <c r="EK4" s="17">
        <f>EJ4*VLOOKUP('Données projet'!$B$15,Paramètres!$A$1:$I$89,3,0)*VLOOKUP('Données projet'!$B$15,Paramètres!$A$1:$I$89,5,0)</f>
        <v>0.71668766937862982</v>
      </c>
      <c r="EL4" s="13">
        <f>EXP(-1.0587+0.8836*LN(EK4)+0.284)</f>
        <v>0.3433377788328647</v>
      </c>
      <c r="EM4" s="20">
        <f t="shared" ref="EM4:EM67" si="19">(EK4+EL4)*0.475*44/12</f>
        <v>1.8462109889683529</v>
      </c>
      <c r="EN4" s="59">
        <f t="shared" ref="EN4:EN67" si="20">EM4+(EE4+EF4)*44/12</f>
        <v>295.17954432230169</v>
      </c>
      <c r="EO4" s="59">
        <f ca="1">AVERAGE(OFFSET($EN$3,0,0,'Données projet'!$E$15+1,1))-AVERAGE(OFFSET($H$3,0,0,'Données projet'!$E$15+1,1))</f>
        <v>326.31232746914907</v>
      </c>
      <c r="EP4" s="59">
        <f>$EP$3</f>
        <v>330.17137761430297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7.9</v>
      </c>
      <c r="FE4" s="12">
        <f>IF('Données projet'!$A$218&gt;35,FE3+FD4-FM3,IF(A4&lt;'Données projet'!$A$218,$FB$205^A4,IF(A4='Données projet'!$A$218,'Données projet'!$B$218,FE3+FD4-FM3)))</f>
        <v>1.2880503926580862</v>
      </c>
      <c r="FF4" s="17">
        <f>FE4*VLOOKUP('Données projet'!$B$16,Paramètres!$A$1:$I$89,3,0)*VLOOKUP('Données projet'!$B$16,Paramètres!$A$1:$I$89,5,0)</f>
        <v>0.80374344501864581</v>
      </c>
      <c r="FG4" s="13">
        <f>EXP(-1.0587+0.8836*LN(FF4)+0.284)</f>
        <v>0.37993896770707264</v>
      </c>
      <c r="FH4" s="20">
        <f t="shared" ref="FH4:FH67" si="22">(FF4+FG4)*0.475*44/12</f>
        <v>2.0615802021639595</v>
      </c>
      <c r="FI4" s="59">
        <f t="shared" ref="FI4:FI67" si="23">FH4+(EZ4+FA4)*44/12</f>
        <v>295.39491353549727</v>
      </c>
      <c r="FJ4" s="59">
        <f ca="1">AVERAGE(OFFSET($FI$3,0,0,'Données projet'!$E$16+1,1))-AVERAGE(OFFSET($H$3,0,0,'Données projet'!$E$16+1,1))</f>
        <v>255.41017495879987</v>
      </c>
      <c r="FK4" s="59">
        <f>$FK$3</f>
        <v>297.50513563712764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6.1</v>
      </c>
      <c r="FZ4" s="12">
        <f>IF('Données projet'!$A$244&gt;35,FZ3+FY4-GH3,IF(A4&lt;'Données projet'!$A$244,$FW$205^A4,IF(A4='Données projet'!$A$244,'Données projet'!$B$244,FZ3+FY4-GH3)))</f>
        <v>1.2715047635013723</v>
      </c>
      <c r="GA4" s="17">
        <f>FZ4*VLOOKUP('Données projet'!$B$17,Paramètres!$A$1:$I$89,3,0)*VLOOKUP('Données projet'!$B$17,Paramètres!$A$1:$I$89,5,0)</f>
        <v>0.76035984857382066</v>
      </c>
      <c r="GB4" s="13">
        <f>EXP(-1.0587+0.8836*LN(GA4)+0.284)</f>
        <v>0.36176005277751561</v>
      </c>
      <c r="GC4" s="20">
        <f t="shared" ref="GC4:GC67" si="25">(GA4+GB4)*0.475*44/12</f>
        <v>1.9543588281869109</v>
      </c>
      <c r="GD4" s="59">
        <f t="shared" ref="GD4:GD67" si="26">GC4+(FU4+FV4)*44/12</f>
        <v>295.28769216152023</v>
      </c>
      <c r="GE4" s="59">
        <f ca="1">AVERAGE(OFFSET($GD$3,0,0,'Données projet'!$E$17+1,1))-AVERAGE(OFFSET($H$3,0,0,'Données projet'!$E$17+1,1))</f>
        <v>259.30247982593914</v>
      </c>
      <c r="GF4" s="59">
        <f>$GF$3</f>
        <v>275.24740346220779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4.75</v>
      </c>
      <c r="GU4" s="12">
        <f>IF('Données projet'!$A$270&gt;35,GU3+GT4-HC3,IF(A4&lt;'Données projet'!$A$270,$GR$205^A4,IF(A4='Données projet'!$A$270,'Données projet'!$B$270,GU3+GT4-HC3)))</f>
        <v>1.2557008269631629</v>
      </c>
      <c r="GV4" s="17">
        <f>GU4*VLOOKUP('Données projet'!$B$18,Paramètres!$A$1:$I$89,3,0)*VLOOKUP('Données projet'!$B$18,Paramètres!$A$1:$I$89,5,0)</f>
        <v>0.99903557793189246</v>
      </c>
      <c r="GW4" s="13">
        <f>EXP(-1.0587+0.8836*LN(GV4)+0.284)</f>
        <v>0.46044927814777026</v>
      </c>
      <c r="GX4" s="20">
        <f t="shared" ref="GX4:GX67" si="28">(GV4+GW4)*0.475*44/12</f>
        <v>2.5419361243387457</v>
      </c>
      <c r="GY4" s="59">
        <f t="shared" ref="GY4:GY67" si="29">GX4+(GP4+GQ4)*44/12</f>
        <v>295.87526945767206</v>
      </c>
      <c r="GZ4" s="59">
        <f ca="1">AVERAGE(OFFSET($GY$3,0,0,'Données projet'!$E$18+1,1))-AVERAGE(OFFSET($H$3,0,0,'Données projet'!$E$18+1,1))</f>
        <v>199.58763537752952</v>
      </c>
      <c r="HA4" s="59">
        <f>$HA$3</f>
        <v>242.62852778451929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296.64562104315422</v>
      </c>
      <c r="S5" s="59">
        <f ca="1">AVERAGE(OFFSET($R$3,0,0,'Données projet'!$E$9+1,1))-AVERAGE(OFFSET($H$3,0,0,'Données projet'!$E$9+1,1))</f>
        <v>237.22177246688199</v>
      </c>
      <c r="T5" s="59">
        <f t="shared" ref="T5:T68" si="34">$T$3</f>
        <v>149.27472147904302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1.47354323872622</v>
      </c>
      <c r="AK5" s="13">
        <f t="shared" ref="AK5:AK68" si="35">EXP(-1.0587+0.8836*LN(AJ5)+0.284)</f>
        <v>0.64910881835703094</v>
      </c>
      <c r="AL5" s="20">
        <f t="shared" si="4"/>
        <v>3.6969523327533285</v>
      </c>
      <c r="AM5" s="59">
        <f t="shared" si="5"/>
        <v>297.03028566608663</v>
      </c>
      <c r="AN5" s="59">
        <f ca="1">AVERAGE(OFFSET($AM$3,0,0,'Données projet'!$E$10+1,1))-AVERAGE(OFFSET($H$3,0,0,'Données projet'!$E$10+1,1))</f>
        <v>279.20364724206644</v>
      </c>
      <c r="AO5" s="59">
        <f t="shared" ref="AO5:AO68" si="36">$AO$3</f>
        <v>173.99850582760712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7.9</v>
      </c>
      <c r="BD5" s="12">
        <f>IF('Données projet'!$A$88&gt;35,BD4+BC5-BL4,IF(A5&lt;'Données projet'!$A$88,$BA$205^A5,IF(A5='Données projet'!$A$88,'Données projet'!$B$88,BD4+BC5-BL4)))</f>
        <v>1.6590738140266501</v>
      </c>
      <c r="BE5" s="13">
        <f>BD5*VLOOKUP('Données projet'!$B$11,Paramètres!$A$1:$I$89,3,0)*VLOOKUP('Données projet'!$B$11,Paramètres!$A$1:$I$89,5,0)</f>
        <v>0.77644654496447219</v>
      </c>
      <c r="BF5" s="13">
        <f t="shared" ref="BF5:BF68" si="37">EXP(-1.0587+0.8836*LN(BE5)+0.284)</f>
        <v>0.36851455096495994</v>
      </c>
      <c r="BG5" s="20">
        <f t="shared" si="7"/>
        <v>1.9941405754104276</v>
      </c>
      <c r="BH5" s="59">
        <f t="shared" si="8"/>
        <v>295.32747390874374</v>
      </c>
      <c r="BI5" s="59">
        <f ca="1">AVERAGE(OFFSET($BH$3,0,0,'Données projet'!$E$11+1,1))-AVERAGE(OFFSET($H$3,0,0,'Données projet'!$E$11+1,1))</f>
        <v>215.23235148064941</v>
      </c>
      <c r="BJ5" s="59">
        <f t="shared" ref="BJ5:BJ68" si="38">$BJ$3</f>
        <v>184.07239726900434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</v>
      </c>
      <c r="BY5" s="12">
        <f>IF('Données projet'!$A$114&gt;35,BY4+BX5-CG4,IF(A5&lt;'Données projet'!$A$114,$BV$205^A5,IF(A5='Données projet'!$A$114,'Données projet'!$B$114,BY4+BX5-CG4)))</f>
        <v>1.4531984602822681</v>
      </c>
      <c r="BZ5" s="13">
        <f>BY5*VLOOKUP('Données projet'!$B$12,Paramètres!$A$1:$I$89,3,0)*VLOOKUP('Données projet'!$B$12,Paramètres!$A$1:$I$89,5,0)</f>
        <v>1.5642228226478332</v>
      </c>
      <c r="CA5" s="13">
        <f t="shared" ref="CA5:CA68" si="39">EXP(-1.0587+0.8836*LN(BZ5)+0.284)</f>
        <v>0.68428075179095682</v>
      </c>
      <c r="CB5" s="20">
        <f t="shared" si="10"/>
        <v>3.9161437254808931</v>
      </c>
      <c r="CC5" s="59">
        <f t="shared" si="11"/>
        <v>297.24947705881419</v>
      </c>
      <c r="CD5" s="59">
        <f ca="1">AVERAGE(OFFSET($CC$3,0,0,'Données projet'!$E$12+1,1))-AVERAGE(OFFSET($H$3,0,0,'Données projet'!$E$12+1,1))</f>
        <v>303.1504619632214</v>
      </c>
      <c r="CE5" s="59">
        <f t="shared" ref="CE5:CE68" si="40">$CE$3</f>
        <v>188.09929616366503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4.75</v>
      </c>
      <c r="CT5" s="12">
        <f>IF('Données projet'!$A$140&gt;35,CT4+CS5-DB4,IF(A5&lt;'Données projet'!$A$140,$CQ$205^A5,IF(A5='Données projet'!$A$140,'Données projet'!$B$140,CT4+CS5-DB4)))</f>
        <v>1.576784566835971</v>
      </c>
      <c r="CU5" s="17">
        <f>CT5*VLOOKUP('Données projet'!$B$13,Paramètres!$A$1:$I$89,3,0)*VLOOKUP('Données projet'!$B$13,Paramètres!$A$1:$I$89,5,0)</f>
        <v>1.0577070874335694</v>
      </c>
      <c r="CV5" s="13">
        <f t="shared" ref="CV5:CV68" si="41">EXP(-1.0587+0.8836*LN(CU5)+0.284)</f>
        <v>0.484263063493652</v>
      </c>
      <c r="CW5" s="20">
        <f t="shared" si="13"/>
        <v>2.6855980128649111</v>
      </c>
      <c r="CX5" s="59">
        <f t="shared" si="14"/>
        <v>296.0189313461982</v>
      </c>
      <c r="CY5" s="59">
        <f ca="1">AVERAGE(OFFSET($CX$3,0,0,'Données projet'!$E$13+1,1))-AVERAGE(OFFSET($H$3,0,0,'Données projet'!$E$13+1,1))</f>
        <v>156.63226020379989</v>
      </c>
      <c r="CZ5" s="59">
        <f t="shared" ref="CZ5:CZ68" si="42">$CZ$3</f>
        <v>196.0481096619543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8.4</v>
      </c>
      <c r="DO5" s="12">
        <f>IF('Données projet'!$A$166&gt;35,DO4+DN5-DW4,IF(A5&lt;'Données projet'!$A$166,$DL$205^A5,IF(A5='Données projet'!$A$166,'Données projet'!$B$166,DO4+DN5-DW4)))</f>
        <v>4.4596391171162191</v>
      </c>
      <c r="DP5" s="17">
        <f>DO5*VLOOKUP('Données projet'!$B$14,Paramètres!$A$1:$I$89,3,0)*VLOOKUP('Données projet'!$B$14,Paramètres!$A$1:$I$89,5,0)</f>
        <v>4.0350814731667546</v>
      </c>
      <c r="DQ5" s="13">
        <f t="shared" ref="DQ5:DQ68" si="43">EXP(-1.0587+0.8836*LN(DP5)+0.284)</f>
        <v>1.5808227025391919</v>
      </c>
      <c r="DR5" s="20">
        <f t="shared" si="16"/>
        <v>9.781033106021189</v>
      </c>
      <c r="DS5" s="59">
        <f t="shared" si="17"/>
        <v>303.11436643935451</v>
      </c>
      <c r="DT5" s="59">
        <f ca="1">AVERAGE(OFFSET($DS$3,0,0,'Données projet'!$E$14+1,1))-AVERAGE(OFFSET($H$3,0,0,'Données projet'!$E$14+1,1))</f>
        <v>225.28075317732998</v>
      </c>
      <c r="DU5" s="59">
        <f t="shared" ref="DU5:DU68" si="44">$DU$3</f>
        <v>358.43407531256207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1.2</v>
      </c>
      <c r="EJ5" s="12">
        <f>IF('Données projet'!$A$192&gt;35,EJ4+EI5-ER4,IF(A5&lt;'Données projet'!$A$192,$EG$205^A5,IF(A5='Données projet'!$A$192,'Données projet'!$B$192,EJ4+EI5-ER4)))</f>
        <v>1.6437518295172255</v>
      </c>
      <c r="EK5" s="17">
        <f>EJ5*VLOOKUP('Données projet'!$B$15,Paramètres!$A$1:$I$89,3,0)*VLOOKUP('Données projet'!$B$15,Paramètres!$A$1:$I$89,5,0)</f>
        <v>0.91885727270012907</v>
      </c>
      <c r="EL5" s="13">
        <f t="shared" ref="EL5:EL68" si="45">EXP(-1.0587+0.8836*LN(EK5)+0.284)</f>
        <v>0.4276397314244611</v>
      </c>
      <c r="EM5" s="20">
        <f t="shared" si="19"/>
        <v>2.3451489488503281</v>
      </c>
      <c r="EN5" s="59">
        <f t="shared" si="20"/>
        <v>295.67848228218367</v>
      </c>
      <c r="EO5" s="59">
        <f ca="1">AVERAGE(OFFSET($EN$3,0,0,'Données projet'!$E$15+1,1))-AVERAGE(OFFSET($H$3,0,0,'Données projet'!$E$15+1,1))</f>
        <v>326.31232746914907</v>
      </c>
      <c r="EP5" s="59">
        <f t="shared" ref="EP5:EP68" si="46">$EP$3</f>
        <v>330.17137761430297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7.9</v>
      </c>
      <c r="FE5" s="12">
        <f>IF('Données projet'!$A$218&gt;35,FE4+FD5-FM4,IF(A5&lt;'Données projet'!$A$218,$FB$205^A5,IF(A5='Données projet'!$A$218,'Données projet'!$B$218,FE4+FD5-FM4)))</f>
        <v>1.6590738140266501</v>
      </c>
      <c r="FF5" s="17">
        <f>FE5*VLOOKUP('Données projet'!$B$16,Paramètres!$A$1:$I$89,3,0)*VLOOKUP('Données projet'!$B$16,Paramètres!$A$1:$I$89,5,0)</f>
        <v>1.0352620599526297</v>
      </c>
      <c r="FG5" s="13">
        <f t="shared" ref="FG5:FG68" si="47">EXP(-1.0587+0.8836*LN(FF5)+0.284)</f>
        <v>0.4751716356997846</v>
      </c>
      <c r="FH5" s="20">
        <f t="shared" si="22"/>
        <v>2.6306720199279545</v>
      </c>
      <c r="FI5" s="59">
        <f t="shared" si="23"/>
        <v>295.96400535326126</v>
      </c>
      <c r="FJ5" s="59">
        <f ca="1">AVERAGE(OFFSET($FI$3,0,0,'Données projet'!$E$16+1,1))-AVERAGE(OFFSET($H$3,0,0,'Données projet'!$E$16+1,1))</f>
        <v>255.41017495879987</v>
      </c>
      <c r="FK5" s="59">
        <f t="shared" ref="FK5:FK68" si="48">$FK$3</f>
        <v>297.50513563712764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6.1</v>
      </c>
      <c r="FZ5" s="12">
        <f>IF('Données projet'!$A$244&gt;35,FZ4+FY5-GH4,IF(A5&lt;'Données projet'!$A$244,$FW$205^A5,IF(A5='Données projet'!$A$244,'Données projet'!$B$244,FZ4+FY5-GH4)))</f>
        <v>1.6167243636066808</v>
      </c>
      <c r="GA5" s="17">
        <f>FZ5*VLOOKUP('Données projet'!$B$17,Paramètres!$A$1:$I$89,3,0)*VLOOKUP('Données projet'!$B$17,Paramètres!$A$1:$I$89,5,0)</f>
        <v>0.96680116943679517</v>
      </c>
      <c r="GB5" s="13">
        <f t="shared" ref="GB5:GB68" si="49">EXP(-1.0587+0.8836*LN(GA5)+0.284)</f>
        <v>0.44729700029912273</v>
      </c>
      <c r="GC5" s="20">
        <f t="shared" si="25"/>
        <v>2.4628876456233901</v>
      </c>
      <c r="GD5" s="59">
        <f t="shared" si="26"/>
        <v>295.79622097895668</v>
      </c>
      <c r="GE5" s="59">
        <f ca="1">AVERAGE(OFFSET($GD$3,0,0,'Données projet'!$E$17+1,1))-AVERAGE(OFFSET($H$3,0,0,'Données projet'!$E$17+1,1))</f>
        <v>259.30247982593914</v>
      </c>
      <c r="GF5" s="59">
        <f t="shared" ref="GF5:GF68" si="50">$GF$3</f>
        <v>275.24740346220779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4.75</v>
      </c>
      <c r="GU5" s="12">
        <f>IF('Données projet'!$A$270&gt;35,GU4+GT5-HC4,IF(A5&lt;'Données projet'!$A$270,$GR$205^A5,IF(A5='Données projet'!$A$270,'Données projet'!$B$270,GU4+GT5-HC4)))</f>
        <v>1.576784566835971</v>
      </c>
      <c r="GV5" s="17">
        <f>GU5*VLOOKUP('Données projet'!$B$18,Paramètres!$A$1:$I$89,3,0)*VLOOKUP('Données projet'!$B$18,Paramètres!$A$1:$I$89,5,0)</f>
        <v>1.2544898013746986</v>
      </c>
      <c r="GW5" s="13">
        <f t="shared" ref="GW5:GW68" si="51">EXP(-1.0587+0.8836*LN(GV5)+0.284)</f>
        <v>0.56306382382627529</v>
      </c>
      <c r="GX5" s="20">
        <f t="shared" si="28"/>
        <v>3.1655725638916965</v>
      </c>
      <c r="GY5" s="59">
        <f t="shared" si="29"/>
        <v>296.49890589722503</v>
      </c>
      <c r="GZ5" s="59">
        <f ca="1">AVERAGE(OFFSET($GY$3,0,0,'Données projet'!$E$18+1,1))-AVERAGE(OFFSET($H$3,0,0,'Données projet'!$E$18+1,1))</f>
        <v>199.58763537752952</v>
      </c>
      <c r="HA5" s="59">
        <f t="shared" ref="HA5:HA68" si="52">$HA$3</f>
        <v>242.62852778451929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297.29973523978072</v>
      </c>
      <c r="S6" s="59">
        <f ca="1">AVERAGE(OFFSET($R$3,0,0,'Données projet'!$E$9+1,1))-AVERAGE(OFFSET($H$3,0,0,'Données projet'!$E$9+1,1))</f>
        <v>237.22177246688199</v>
      </c>
      <c r="T6" s="59">
        <f t="shared" si="34"/>
        <v>149.27472147904302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1.7763369450933317</v>
      </c>
      <c r="AK6" s="13">
        <f t="shared" si="35"/>
        <v>0.76565418883323866</v>
      </c>
      <c r="AL6" s="20">
        <f t="shared" si="4"/>
        <v>4.4273012249221102</v>
      </c>
      <c r="AM6" s="59">
        <f t="shared" si="5"/>
        <v>297.76063455825545</v>
      </c>
      <c r="AN6" s="59">
        <f ca="1">AVERAGE(OFFSET($AM$3,0,0,'Données projet'!$E$10+1,1))-AVERAGE(OFFSET($H$3,0,0,'Données projet'!$E$10+1,1))</f>
        <v>279.20364724206644</v>
      </c>
      <c r="AO6" s="59">
        <f t="shared" si="36"/>
        <v>173.99850582760712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7.9</v>
      </c>
      <c r="BD6" s="12">
        <f>IF('Données projet'!$A$88&gt;35,BD5+BC6-BL5,IF(A6&lt;'Données projet'!$A$88,$BA$205^A6,IF(A6='Données projet'!$A$88,'Données projet'!$B$88,BD5+BC6-BL5)))</f>
        <v>2.1369706776057753</v>
      </c>
      <c r="BE6" s="13">
        <f>BD6*VLOOKUP('Données projet'!$B$11,Paramètres!$A$1:$I$89,3,0)*VLOOKUP('Données projet'!$B$11,Paramètres!$A$1:$I$89,5,0)</f>
        <v>1.0001022771195029</v>
      </c>
      <c r="BF6" s="13">
        <f t="shared" si="37"/>
        <v>0.46088365986243646</v>
      </c>
      <c r="BG6" s="20">
        <f t="shared" si="7"/>
        <v>2.5445505069102112</v>
      </c>
      <c r="BH6" s="59">
        <f t="shared" si="8"/>
        <v>295.8778838402435</v>
      </c>
      <c r="BI6" s="59">
        <f ca="1">AVERAGE(OFFSET($BH$3,0,0,'Données projet'!$E$11+1,1))-AVERAGE(OFFSET($H$3,0,0,'Données projet'!$E$11+1,1))</f>
        <v>215.23235148064941</v>
      </c>
      <c r="BJ6" s="59">
        <f t="shared" si="38"/>
        <v>184.07239726900434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</v>
      </c>
      <c r="BY6" s="12">
        <f>IF('Données projet'!$A$114&gt;35,BY5+BX6-CG5,IF(A6&lt;'Données projet'!$A$114,$BV$205^A6,IF(A6='Données projet'!$A$114,'Données projet'!$B$114,BY5+BX6-CG5)))</f>
        <v>1.7518115829322798</v>
      </c>
      <c r="BZ6" s="13">
        <f>BY6*VLOOKUP('Données projet'!$B$12,Paramètres!$A$1:$I$89,3,0)*VLOOKUP('Données projet'!$B$12,Paramètres!$A$1:$I$89,5,0)</f>
        <v>1.885649987868306</v>
      </c>
      <c r="CA6" s="13">
        <f t="shared" si="39"/>
        <v>0.8071411281590839</v>
      </c>
      <c r="CB6" s="20">
        <f t="shared" si="10"/>
        <v>4.6899445270810372</v>
      </c>
      <c r="CC6" s="59">
        <f t="shared" si="11"/>
        <v>298.02327786041434</v>
      </c>
      <c r="CD6" s="59">
        <f ca="1">AVERAGE(OFFSET($CC$3,0,0,'Données projet'!$E$12+1,1))-AVERAGE(OFFSET($H$3,0,0,'Données projet'!$E$12+1,1))</f>
        <v>303.1504619632214</v>
      </c>
      <c r="CE6" s="59">
        <f t="shared" si="40"/>
        <v>188.09929616366503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4.75</v>
      </c>
      <c r="CT6" s="12">
        <f>IF('Données projet'!$A$140&gt;35,CT5+CS6-DB5,IF(A6&lt;'Données projet'!$A$140,$CQ$205^A6,IF(A6='Données projet'!$A$140,'Données projet'!$B$140,CT5+CS6-DB5)))</f>
        <v>1.9799696845186814</v>
      </c>
      <c r="CU6" s="17">
        <f>CT6*VLOOKUP('Données projet'!$B$13,Paramètres!$A$1:$I$89,3,0)*VLOOKUP('Données projet'!$B$13,Paramètres!$A$1:$I$89,5,0)</f>
        <v>1.3281636643751316</v>
      </c>
      <c r="CV6" s="13">
        <f t="shared" si="41"/>
        <v>0.5921846883231614</v>
      </c>
      <c r="CW6" s="20">
        <f t="shared" si="13"/>
        <v>3.3446067142828606</v>
      </c>
      <c r="CX6" s="59">
        <f t="shared" si="14"/>
        <v>296.67794004761618</v>
      </c>
      <c r="CY6" s="59">
        <f ca="1">AVERAGE(OFFSET($CX$3,0,0,'Données projet'!$E$13+1,1))-AVERAGE(OFFSET($H$3,0,0,'Données projet'!$E$13+1,1))</f>
        <v>156.63226020379989</v>
      </c>
      <c r="CZ6" s="59">
        <f t="shared" si="42"/>
        <v>196.0481096619543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8.4</v>
      </c>
      <c r="DO6" s="12">
        <f>IF('Données projet'!$A$166&gt;35,DO5+DN6-DW5,IF(A6&lt;'Données projet'!$A$166,$DL$205^A6,IF(A6='Données projet'!$A$166,'Données projet'!$B$166,DO5+DN6-DW5)))</f>
        <v>9.4178024044149353</v>
      </c>
      <c r="DP6" s="17">
        <f>DO6*VLOOKUP('Données projet'!$B$14,Paramètres!$A$1:$I$89,3,0)*VLOOKUP('Données projet'!$B$14,Paramètres!$A$1:$I$89,5,0)</f>
        <v>8.5212276155146327</v>
      </c>
      <c r="DQ6" s="13">
        <f t="shared" si="43"/>
        <v>3.0601574970852115</v>
      </c>
      <c r="DR6" s="20">
        <f t="shared" si="16"/>
        <v>20.170912404444724</v>
      </c>
      <c r="DS6" s="59">
        <f t="shared" si="17"/>
        <v>313.50424573777804</v>
      </c>
      <c r="DT6" s="59">
        <f ca="1">AVERAGE(OFFSET($DS$3,0,0,'Données projet'!$E$14+1,1))-AVERAGE(OFFSET($H$3,0,0,'Données projet'!$E$14+1,1))</f>
        <v>225.28075317732998</v>
      </c>
      <c r="DU6" s="59">
        <f t="shared" si="44"/>
        <v>358.43407531256207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1.2</v>
      </c>
      <c r="EJ6" s="12">
        <f>IF('Données projet'!$A$192&gt;35,EJ5+EI6-ER5,IF(A6&lt;'Données projet'!$A$192,$EG$205^A6,IF(A6='Données projet'!$A$192,'Données projet'!$B$192,EJ5+EI6-ER5)))</f>
        <v>2.1074358993444706</v>
      </c>
      <c r="EK6" s="17">
        <f>EJ6*VLOOKUP('Données projet'!$B$15,Paramètres!$A$1:$I$89,3,0)*VLOOKUP('Données projet'!$B$15,Paramètres!$A$1:$I$89,5,0)</f>
        <v>1.1780566677335591</v>
      </c>
      <c r="EL6" s="13">
        <f t="shared" si="45"/>
        <v>0.532640889430954</v>
      </c>
      <c r="EM6" s="20">
        <f t="shared" si="19"/>
        <v>2.9794649120615269</v>
      </c>
      <c r="EN6" s="59">
        <f t="shared" si="20"/>
        <v>296.31279824539484</v>
      </c>
      <c r="EO6" s="59">
        <f ca="1">AVERAGE(OFFSET($EN$3,0,0,'Données projet'!$E$15+1,1))-AVERAGE(OFFSET($H$3,0,0,'Données projet'!$E$15+1,1))</f>
        <v>326.31232746914907</v>
      </c>
      <c r="EP6" s="59">
        <f t="shared" si="46"/>
        <v>330.17137761430297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7.9</v>
      </c>
      <c r="FE6" s="12">
        <f>IF('Données projet'!$A$218&gt;35,FE5+FD6-FM5,IF(A6&lt;'Données projet'!$A$218,$FB$205^A6,IF(A6='Données projet'!$A$218,'Données projet'!$B$218,FE5+FD6-FM5)))</f>
        <v>2.1369706776057753</v>
      </c>
      <c r="FF6" s="17">
        <f>FE6*VLOOKUP('Données projet'!$B$16,Paramètres!$A$1:$I$89,3,0)*VLOOKUP('Données projet'!$B$16,Paramètres!$A$1:$I$89,5,0)</f>
        <v>1.3334697028260039</v>
      </c>
      <c r="FG6" s="13">
        <f t="shared" si="47"/>
        <v>0.59427461398928705</v>
      </c>
      <c r="FH6" s="20">
        <f t="shared" si="22"/>
        <v>3.357488018453298</v>
      </c>
      <c r="FI6" s="59">
        <f t="shared" si="23"/>
        <v>296.69082135178661</v>
      </c>
      <c r="FJ6" s="59">
        <f ca="1">AVERAGE(OFFSET($FI$3,0,0,'Données projet'!$E$16+1,1))-AVERAGE(OFFSET($H$3,0,0,'Données projet'!$E$16+1,1))</f>
        <v>255.41017495879987</v>
      </c>
      <c r="FK6" s="59">
        <f t="shared" si="48"/>
        <v>297.50513563712764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6.1</v>
      </c>
      <c r="FZ6" s="12">
        <f>IF('Données projet'!$A$244&gt;35,FZ5+FY6-GH5,IF(A6&lt;'Données projet'!$A$244,$FW$205^A6,IF(A6='Données projet'!$A$244,'Données projet'!$B$244,FZ5+FY6-GH5)))</f>
        <v>2.0556727295946193</v>
      </c>
      <c r="GA6" s="17">
        <f>FZ6*VLOOKUP('Données projet'!$B$17,Paramètres!$A$1:$I$89,3,0)*VLOOKUP('Données projet'!$B$17,Paramètres!$A$1:$I$89,5,0)</f>
        <v>1.2292922922975824</v>
      </c>
      <c r="GB6" s="13">
        <f t="shared" si="49"/>
        <v>0.55305887131667453</v>
      </c>
      <c r="GC6" s="20">
        <f t="shared" si="25"/>
        <v>3.1042616099614975</v>
      </c>
      <c r="GD6" s="59">
        <f t="shared" si="26"/>
        <v>296.43759494329481</v>
      </c>
      <c r="GE6" s="59">
        <f ca="1">AVERAGE(OFFSET($GD$3,0,0,'Données projet'!$E$17+1,1))-AVERAGE(OFFSET($H$3,0,0,'Données projet'!$E$17+1,1))</f>
        <v>259.30247982593914</v>
      </c>
      <c r="GF6" s="59">
        <f t="shared" si="50"/>
        <v>275.24740346220779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4.75</v>
      </c>
      <c r="GU6" s="12">
        <f>IF('Données projet'!$A$270&gt;35,GU5+GT6-HC5,IF(A6&lt;'Données projet'!$A$270,$GR$205^A6,IF(A6='Données projet'!$A$270,'Données projet'!$B$270,GU5+GT6-HC5)))</f>
        <v>1.9799696845186814</v>
      </c>
      <c r="GV6" s="17">
        <f>GU6*VLOOKUP('Données projet'!$B$18,Paramètres!$A$1:$I$89,3,0)*VLOOKUP('Données projet'!$B$18,Paramètres!$A$1:$I$89,5,0)</f>
        <v>1.575263881003063</v>
      </c>
      <c r="GW6" s="13">
        <f t="shared" si="51"/>
        <v>0.68854678408274117</v>
      </c>
      <c r="GX6" s="20">
        <f t="shared" si="28"/>
        <v>3.9428035750244419</v>
      </c>
      <c r="GY6" s="59">
        <f t="shared" si="29"/>
        <v>297.27613690835778</v>
      </c>
      <c r="GZ6" s="59">
        <f ca="1">AVERAGE(OFFSET($GY$3,0,0,'Données projet'!$E$18+1,1))-AVERAGE(OFFSET($H$3,0,0,'Données projet'!$E$18+1,1))</f>
        <v>199.58763537752952</v>
      </c>
      <c r="HA6" s="59">
        <f t="shared" si="52"/>
        <v>242.62852778451929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298.08350019263929</v>
      </c>
      <c r="S7" s="59">
        <f ca="1">AVERAGE(OFFSET($R$3,0,0,'Données projet'!$E$9+1,1))-AVERAGE(OFFSET($H$3,0,0,'Données projet'!$E$9+1,1))</f>
        <v>237.22177246688199</v>
      </c>
      <c r="T7" s="59">
        <f t="shared" si="34"/>
        <v>149.27472147904302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2.1413507656762891</v>
      </c>
      <c r="AK7" s="13">
        <f t="shared" si="35"/>
        <v>0.9031249003236328</v>
      </c>
      <c r="AL7" s="20">
        <f t="shared" si="4"/>
        <v>5.3024617849498643</v>
      </c>
      <c r="AM7" s="59">
        <f t="shared" si="5"/>
        <v>298.63579511828317</v>
      </c>
      <c r="AN7" s="59">
        <f ca="1">AVERAGE(OFFSET($AM$3,0,0,'Données projet'!$E$10+1,1))-AVERAGE(OFFSET($H$3,0,0,'Données projet'!$E$10+1,1))</f>
        <v>279.20364724206644</v>
      </c>
      <c r="AO7" s="59">
        <f t="shared" si="36"/>
        <v>173.99850582760712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7.9</v>
      </c>
      <c r="BD7" s="12">
        <f>IF('Données projet'!$A$88&gt;35,BD6+BC7-BL6,IF(A7&lt;'Données projet'!$A$88,$BA$205^A7,IF(A7='Données projet'!$A$88,'Données projet'!$B$88,BD6+BC7-BL6)))</f>
        <v>2.7525259203889356</v>
      </c>
      <c r="BE7" s="13">
        <f>BD7*VLOOKUP('Données projet'!$B$11,Paramètres!$A$1:$I$89,3,0)*VLOOKUP('Données projet'!$B$11,Paramètres!$A$1:$I$89,5,0)</f>
        <v>1.2881821307420218</v>
      </c>
      <c r="BF7" s="13">
        <f t="shared" si="37"/>
        <v>0.57640532069082717</v>
      </c>
      <c r="BG7" s="20">
        <f t="shared" si="7"/>
        <v>3.2474898112455457</v>
      </c>
      <c r="BH7" s="59">
        <f t="shared" si="8"/>
        <v>296.58082314457886</v>
      </c>
      <c r="BI7" s="59">
        <f ca="1">AVERAGE(OFFSET($BH$3,0,0,'Données projet'!$E$11+1,1))-AVERAGE(OFFSET($H$3,0,0,'Données projet'!$E$11+1,1))</f>
        <v>215.23235148064941</v>
      </c>
      <c r="BJ7" s="59">
        <f t="shared" si="38"/>
        <v>184.07239726900434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</v>
      </c>
      <c r="BY7" s="12">
        <f>IF('Données projet'!$A$114&gt;35,BY6+BX7-CG6,IF(A7&lt;'Données projet'!$A$114,$BV$205^A7,IF(A7='Données projet'!$A$114,'Données projet'!$B$114,BY6+BX7-CG6)))</f>
        <v>2.1117857649667546</v>
      </c>
      <c r="BZ7" s="13">
        <f>BY7*VLOOKUP('Données projet'!$B$12,Paramètres!$A$1:$I$89,3,0)*VLOOKUP('Données projet'!$B$12,Paramètres!$A$1:$I$89,5,0)</f>
        <v>2.2731261974102144</v>
      </c>
      <c r="CA7" s="13">
        <f t="shared" si="39"/>
        <v>0.95206068424520052</v>
      </c>
      <c r="CB7" s="20">
        <f t="shared" si="10"/>
        <v>5.617200485549847</v>
      </c>
      <c r="CC7" s="59">
        <f t="shared" si="11"/>
        <v>298.95053381888317</v>
      </c>
      <c r="CD7" s="59">
        <f ca="1">AVERAGE(OFFSET($CC$3,0,0,'Données projet'!$E$12+1,1))-AVERAGE(OFFSET($H$3,0,0,'Données projet'!$E$12+1,1))</f>
        <v>303.1504619632214</v>
      </c>
      <c r="CE7" s="59">
        <f t="shared" si="40"/>
        <v>188.09929616366503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4.75</v>
      </c>
      <c r="CT7" s="12">
        <f>IF('Données projet'!$A$140&gt;35,CT6+CS7-DB6,IF(A7&lt;'Données projet'!$A$140,$CQ$205^A7,IF(A7='Données projet'!$A$140,'Données projet'!$B$140,CT6+CS7-DB6)))</f>
        <v>2.4862495702121006</v>
      </c>
      <c r="CU7" s="17">
        <f>CT7*VLOOKUP('Données projet'!$B$13,Paramètres!$A$1:$I$89,3,0)*VLOOKUP('Données projet'!$B$13,Paramètres!$A$1:$I$89,5,0)</f>
        <v>1.6677762116982771</v>
      </c>
      <c r="CV7" s="13">
        <f t="shared" si="41"/>
        <v>0.72415744978451535</v>
      </c>
      <c r="CW7" s="20">
        <f t="shared" si="13"/>
        <v>4.16595112708253</v>
      </c>
      <c r="CX7" s="59">
        <f t="shared" si="14"/>
        <v>297.49928446041582</v>
      </c>
      <c r="CY7" s="59">
        <f ca="1">AVERAGE(OFFSET($CX$3,0,0,'Données projet'!$E$13+1,1))-AVERAGE(OFFSET($H$3,0,0,'Données projet'!$E$13+1,1))</f>
        <v>156.63226020379989</v>
      </c>
      <c r="CZ7" s="59">
        <f t="shared" si="42"/>
        <v>196.0481096619543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8.4</v>
      </c>
      <c r="DO7" s="12">
        <f>IF('Données projet'!$A$166&gt;35,DO6+DN7-DW6,IF(A7&lt;'Données projet'!$A$166,$DL$205^A7,IF(A7='Données projet'!$A$166,'Données projet'!$B$166,DO6+DN7-DW6)))</f>
        <v>19.888381054913129</v>
      </c>
      <c r="DP7" s="17">
        <f>DO7*VLOOKUP('Données projet'!$B$14,Paramètres!$A$1:$I$89,3,0)*VLOOKUP('Données projet'!$B$14,Paramètres!$A$1:$I$89,5,0)</f>
        <v>17.995007178485398</v>
      </c>
      <c r="DQ7" s="13">
        <f t="shared" si="43"/>
        <v>5.9238546434872283</v>
      </c>
      <c r="DR7" s="20">
        <f t="shared" si="16"/>
        <v>41.658684339935661</v>
      </c>
      <c r="DS7" s="59">
        <f t="shared" si="17"/>
        <v>334.99201767326895</v>
      </c>
      <c r="DT7" s="59">
        <f ca="1">AVERAGE(OFFSET($DS$3,0,0,'Données projet'!$E$14+1,1))-AVERAGE(OFFSET($H$3,0,0,'Données projet'!$E$14+1,1))</f>
        <v>225.28075317732998</v>
      </c>
      <c r="DU7" s="59">
        <f t="shared" si="44"/>
        <v>358.43407531256207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1.2</v>
      </c>
      <c r="EJ7" s="12">
        <f>IF('Données projet'!$A$192&gt;35,EJ6+EI7-ER6,IF(A7&lt;'Données projet'!$A$192,$EG$205^A7,IF(A7='Données projet'!$A$192,'Données projet'!$B$192,EJ6+EI7-ER6)))</f>
        <v>2.7019200770412262</v>
      </c>
      <c r="EK7" s="17">
        <f>EJ7*VLOOKUP('Données projet'!$B$15,Paramètres!$A$1:$I$89,3,0)*VLOOKUP('Données projet'!$B$15,Paramètres!$A$1:$I$89,5,0)</f>
        <v>1.5103733230660454</v>
      </c>
      <c r="EL7" s="13">
        <f t="shared" si="45"/>
        <v>0.66342366306511447</v>
      </c>
      <c r="EM7" s="20">
        <f t="shared" si="19"/>
        <v>3.786029750845104</v>
      </c>
      <c r="EN7" s="59">
        <f t="shared" si="20"/>
        <v>297.11936308417842</v>
      </c>
      <c r="EO7" s="59">
        <f ca="1">AVERAGE(OFFSET($EN$3,0,0,'Données projet'!$E$15+1,1))-AVERAGE(OFFSET($H$3,0,0,'Données projet'!$E$15+1,1))</f>
        <v>326.31232746914907</v>
      </c>
      <c r="EP7" s="59">
        <f t="shared" si="46"/>
        <v>330.17137761430297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7.9</v>
      </c>
      <c r="FE7" s="12">
        <f>IF('Données projet'!$A$218&gt;35,FE6+FD7-FM6,IF(A7&lt;'Données projet'!$A$218,$FB$205^A7,IF(A7='Données projet'!$A$218,'Données projet'!$B$218,FE6+FD7-FM6)))</f>
        <v>2.7525259203889356</v>
      </c>
      <c r="FF7" s="17">
        <f>FE7*VLOOKUP('Données projet'!$B$16,Paramètres!$A$1:$I$89,3,0)*VLOOKUP('Données projet'!$B$16,Paramètres!$A$1:$I$89,5,0)</f>
        <v>1.7175761743226958</v>
      </c>
      <c r="FG7" s="13">
        <f t="shared" si="47"/>
        <v>0.74323105652553223</v>
      </c>
      <c r="FH7" s="20">
        <f t="shared" si="22"/>
        <v>4.2859059270606634</v>
      </c>
      <c r="FI7" s="59">
        <f t="shared" si="23"/>
        <v>297.61923926039395</v>
      </c>
      <c r="FJ7" s="59">
        <f ca="1">AVERAGE(OFFSET($FI$3,0,0,'Données projet'!$E$16+1,1))-AVERAGE(OFFSET($H$3,0,0,'Données projet'!$E$16+1,1))</f>
        <v>255.41017495879987</v>
      </c>
      <c r="FK7" s="59">
        <f t="shared" si="48"/>
        <v>297.50513563712764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6.1</v>
      </c>
      <c r="FZ7" s="12">
        <f>IF('Données projet'!$A$244&gt;35,FZ6+FY7-GH6,IF(A7&lt;'Données projet'!$A$244,$FW$205^A7,IF(A7='Données projet'!$A$244,'Données projet'!$B$244,FZ6+FY7-GH6)))</f>
        <v>2.6137976678794272</v>
      </c>
      <c r="GA7" s="17">
        <f>FZ7*VLOOKUP('Données projet'!$B$17,Paramètres!$A$1:$I$89,3,0)*VLOOKUP('Données projet'!$B$17,Paramètres!$A$1:$I$89,5,0)</f>
        <v>1.5630510053918976</v>
      </c>
      <c r="GB7" s="13">
        <f t="shared" si="49"/>
        <v>0.6838277809543224</v>
      </c>
      <c r="GC7" s="20">
        <f t="shared" si="25"/>
        <v>3.9133138862196657</v>
      </c>
      <c r="GD7" s="59">
        <f t="shared" si="26"/>
        <v>297.24664721955298</v>
      </c>
      <c r="GE7" s="59">
        <f ca="1">AVERAGE(OFFSET($GD$3,0,0,'Données projet'!$E$17+1,1))-AVERAGE(OFFSET($H$3,0,0,'Données projet'!$E$17+1,1))</f>
        <v>259.30247982593914</v>
      </c>
      <c r="GF7" s="59">
        <f t="shared" si="50"/>
        <v>275.24740346220779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4.75</v>
      </c>
      <c r="GU7" s="12">
        <f>IF('Données projet'!$A$270&gt;35,GU6+GT7-HC6,IF(A7&lt;'Données projet'!$A$270,$GR$205^A7,IF(A7='Données projet'!$A$270,'Données projet'!$B$270,GU6+GT7-HC6)))</f>
        <v>2.4862495702121006</v>
      </c>
      <c r="GV7" s="17">
        <f>GU7*VLOOKUP('Données projet'!$B$18,Paramètres!$A$1:$I$89,3,0)*VLOOKUP('Données projet'!$B$18,Paramètres!$A$1:$I$89,5,0)</f>
        <v>1.9780601580607473</v>
      </c>
      <c r="GW7" s="13">
        <f t="shared" si="51"/>
        <v>0.84199455516247157</v>
      </c>
      <c r="GX7" s="20">
        <f t="shared" si="28"/>
        <v>4.9115952921971058</v>
      </c>
      <c r="GY7" s="59">
        <f t="shared" si="29"/>
        <v>298.24492862553041</v>
      </c>
      <c r="GZ7" s="59">
        <f ca="1">AVERAGE(OFFSET($GY$3,0,0,'Données projet'!$E$18+1,1))-AVERAGE(OFFSET($H$3,0,0,'Données projet'!$E$18+1,1))</f>
        <v>199.58763537752952</v>
      </c>
      <c r="HA7" s="59">
        <f t="shared" si="52"/>
        <v>242.62852778451929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299.02270258510697</v>
      </c>
      <c r="S8" s="59">
        <f ca="1">AVERAGE(OFFSET($R$3,0,0,'Données projet'!$E$9+1,1))-AVERAGE(OFFSET($H$3,0,0,'Données projet'!$E$9+1,1))</f>
        <v>237.22177246688199</v>
      </c>
      <c r="T8" s="59">
        <f t="shared" si="34"/>
        <v>149.27472147904302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2.5813701135521372</v>
      </c>
      <c r="AK8" s="13">
        <f t="shared" si="35"/>
        <v>1.0652780295337991</v>
      </c>
      <c r="AL8" s="20">
        <f t="shared" si="4"/>
        <v>6.3512455158746723</v>
      </c>
      <c r="AM8" s="59">
        <f t="shared" si="5"/>
        <v>299.68457884920798</v>
      </c>
      <c r="AN8" s="59">
        <f ca="1">AVERAGE(OFFSET($AM$3,0,0,'Données projet'!$E$10+1,1))-AVERAGE(OFFSET($H$3,0,0,'Données projet'!$E$10+1,1))</f>
        <v>279.20364724206644</v>
      </c>
      <c r="AO8" s="59">
        <f t="shared" si="36"/>
        <v>173.99850582760712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7.9</v>
      </c>
      <c r="BD8" s="12">
        <f>IF('Données projet'!$A$88&gt;35,BD7+BC8-BL7,IF(A8&lt;'Données projet'!$A$88,$BA$205^A8,IF(A8='Données projet'!$A$88,'Données projet'!$B$88,BD7+BC8-BL7)))</f>
        <v>3.5453920925585285</v>
      </c>
      <c r="BE8" s="13">
        <f>BD8*VLOOKUP('Données projet'!$B$11,Paramètres!$A$1:$I$89,3,0)*VLOOKUP('Données projet'!$B$11,Paramètres!$A$1:$I$89,5,0)</f>
        <v>1.6592434993173915</v>
      </c>
      <c r="BF8" s="13">
        <f t="shared" si="37"/>
        <v>0.72088277944126433</v>
      </c>
      <c r="BG8" s="20">
        <f t="shared" si="7"/>
        <v>4.1453866021713255</v>
      </c>
      <c r="BH8" s="59">
        <f t="shared" si="8"/>
        <v>297.47871993550461</v>
      </c>
      <c r="BI8" s="59">
        <f ca="1">AVERAGE(OFFSET($BH$3,0,0,'Données projet'!$E$11+1,1))-AVERAGE(OFFSET($H$3,0,0,'Données projet'!$E$11+1,1))</f>
        <v>215.23235148064941</v>
      </c>
      <c r="BJ8" s="59">
        <f t="shared" si="38"/>
        <v>184.07239726900434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</v>
      </c>
      <c r="BY8" s="12">
        <f>IF('Données projet'!$A$114&gt;35,BY7+BX8-CG7,IF(A8&lt;'Données projet'!$A$114,$BV$205^A8,IF(A8='Données projet'!$A$114,'Données projet'!$B$114,BY7+BX8-CG7)))</f>
        <v>2.5457298950218314</v>
      </c>
      <c r="BZ8" s="13">
        <f>BY8*VLOOKUP('Données projet'!$B$12,Paramètres!$A$1:$I$89,3,0)*VLOOKUP('Données projet'!$B$12,Paramètres!$A$1:$I$89,5,0)</f>
        <v>2.740223659001499</v>
      </c>
      <c r="CA8" s="13">
        <f t="shared" si="39"/>
        <v>1.1230000737947632</v>
      </c>
      <c r="CB8" s="20">
        <f t="shared" si="10"/>
        <v>6.7284480012868242</v>
      </c>
      <c r="CC8" s="59">
        <f t="shared" si="11"/>
        <v>300.06178133462015</v>
      </c>
      <c r="CD8" s="59">
        <f ca="1">AVERAGE(OFFSET($CC$3,0,0,'Données projet'!$E$12+1,1))-AVERAGE(OFFSET($H$3,0,0,'Données projet'!$E$12+1,1))</f>
        <v>303.1504619632214</v>
      </c>
      <c r="CE8" s="59">
        <f t="shared" si="40"/>
        <v>188.09929616366503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4.75</v>
      </c>
      <c r="CT8" s="12">
        <f>IF('Données projet'!$A$140&gt;35,CT7+CS8-DB7,IF(A8&lt;'Données projet'!$A$140,$CQ$205^A8,IF(A8='Données projet'!$A$140,'Données projet'!$B$140,CT7+CS8-DB7)))</f>
        <v>3.121985641352143</v>
      </c>
      <c r="CU8" s="17">
        <f>CT8*VLOOKUP('Données projet'!$B$13,Paramètres!$A$1:$I$89,3,0)*VLOOKUP('Données projet'!$B$13,Paramètres!$A$1:$I$89,5,0)</f>
        <v>2.0942279682190175</v>
      </c>
      <c r="CV8" s="13">
        <f t="shared" si="41"/>
        <v>0.88554132252781281</v>
      </c>
      <c r="CW8" s="20">
        <f t="shared" si="13"/>
        <v>5.1897648480507295</v>
      </c>
      <c r="CX8" s="59">
        <f t="shared" si="14"/>
        <v>298.52309818138406</v>
      </c>
      <c r="CY8" s="59">
        <f ca="1">AVERAGE(OFFSET($CX$3,0,0,'Données projet'!$E$13+1,1))-AVERAGE(OFFSET($H$3,0,0,'Données projet'!$E$13+1,1))</f>
        <v>156.63226020379989</v>
      </c>
      <c r="CZ8" s="59">
        <f t="shared" si="42"/>
        <v>196.0481096619543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>
        <f>VLOOKUP(A8,'Données projet'!$A$165:$I$185,2,0)</f>
        <v>42</v>
      </c>
      <c r="DM8" s="12">
        <f>VLOOKUP(A8,'Données projet'!$A$165:$I$185,9,0)</f>
        <v>8.4</v>
      </c>
      <c r="DN8" s="12">
        <f t="array" ref="DN8">INDEX(DM:DM,MIN(IF(ISNUMBER(DM8:DM204),ROW(DM8:DM204),"")))</f>
        <v>8.4</v>
      </c>
      <c r="DO8" s="12">
        <f>IF('Données projet'!$A$166&gt;35,DO7+DN8-DW7,IF(A8&lt;'Données projet'!$A$166,$DL$205^A8,IF(A8='Données projet'!$A$166,'Données projet'!$B$166,DO7+DN8-DW7)))</f>
        <v>42</v>
      </c>
      <c r="DP8" s="17">
        <f>DO8*VLOOKUP('Données projet'!$B$14,Paramètres!$A$1:$I$89,3,0)*VLOOKUP('Données projet'!$B$14,Paramètres!$A$1:$I$89,5,0)</f>
        <v>38.001600000000003</v>
      </c>
      <c r="DQ8" s="13">
        <f t="shared" si="43"/>
        <v>11.467401227090512</v>
      </c>
      <c r="DR8" s="20">
        <f t="shared" si="16"/>
        <v>86.158510470515978</v>
      </c>
      <c r="DS8" s="59">
        <f t="shared" si="17"/>
        <v>379.49184380384929</v>
      </c>
      <c r="DT8" s="59">
        <f ca="1">AVERAGE(OFFSET($DS$3,0,0,'Données projet'!$E$14+1,1))-AVERAGE(OFFSET($H$3,0,0,'Données projet'!$E$14+1,1))</f>
        <v>225.28075317732998</v>
      </c>
      <c r="DU8" s="59">
        <f t="shared" si="44"/>
        <v>358.43407531256207</v>
      </c>
      <c r="DV8" s="15">
        <f>IF(ISNA(VLOOKUP(A8,'Données projet'!$A$165:$I$185,3,0)),0,VLOOKUP(A8,'Données projet'!$A$165:$I$185,3,0))</f>
        <v>1</v>
      </c>
      <c r="DW8" s="15">
        <f>IF(ISNA(VLOOKUP(A8,'Données projet'!$A$165:$I$185,4,0)),0,VLOOKUP(A8,'Données projet'!$A$165:$I$185,4,0))</f>
        <v>13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7.4999999999999997E-2</v>
      </c>
      <c r="DZ8" s="16">
        <f>IF(ISNA(VLOOKUP(A8,'Données projet'!$A$165:$I$185,7,0)),0%,VLOOKUP(A8,'Données projet'!$A$165:$I$185,7,0))</f>
        <v>0.25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0.97138403149243302</v>
      </c>
      <c r="EC8" s="21">
        <f>EXP(-LN(2)/2)*EC7+(1-EXP(-LN(2)/2))/(LN(2)/2)*DW8*DZ8*VLOOKUP('Données projet'!$B$14,Paramètres!$A$1:$I$89,3,0)*0.475*44/12</f>
        <v>2.7745352450886043</v>
      </c>
      <c r="ED8" s="22">
        <f t="shared" si="18"/>
        <v>3.7459192765810374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1.2</v>
      </c>
      <c r="EJ8" s="12">
        <f>IF('Données projet'!$A$192&gt;35,EJ7+EI8-ER7,IF(A8&lt;'Données projet'!$A$192,$EG$205^A8,IF(A8='Données projet'!$A$192,'Données projet'!$B$192,EJ7+EI8-ER7)))</f>
        <v>3.4641016151377535</v>
      </c>
      <c r="EK8" s="17">
        <f>EJ8*VLOOKUP('Données projet'!$B$15,Paramètres!$A$1:$I$89,3,0)*VLOOKUP('Données projet'!$B$15,Paramètres!$A$1:$I$89,5,0)</f>
        <v>1.9364328028620041</v>
      </c>
      <c r="EL8" s="13">
        <f t="shared" si="45"/>
        <v>0.82631837969658639</v>
      </c>
      <c r="EM8" s="20">
        <f t="shared" si="19"/>
        <v>4.8117916429562113</v>
      </c>
      <c r="EN8" s="59">
        <f t="shared" si="20"/>
        <v>298.14512497628954</v>
      </c>
      <c r="EO8" s="59">
        <f ca="1">AVERAGE(OFFSET($EN$3,0,0,'Données projet'!$E$15+1,1))-AVERAGE(OFFSET($H$3,0,0,'Données projet'!$E$15+1,1))</f>
        <v>326.31232746914907</v>
      </c>
      <c r="EP8" s="59">
        <f t="shared" si="46"/>
        <v>330.17137761430297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7.9</v>
      </c>
      <c r="FE8" s="12">
        <f>IF('Données projet'!$A$218&gt;35,FE7+FD8-FM7,IF(A8&lt;'Données projet'!$A$218,$FB$205^A8,IF(A8='Données projet'!$A$218,'Données projet'!$B$218,FE7+FD8-FM7)))</f>
        <v>3.5453920925585285</v>
      </c>
      <c r="FF8" s="17">
        <f>FE8*VLOOKUP('Données projet'!$B$16,Paramètres!$A$1:$I$89,3,0)*VLOOKUP('Données projet'!$B$16,Paramètres!$A$1:$I$89,5,0)</f>
        <v>2.2123246657565216</v>
      </c>
      <c r="FG8" s="13">
        <f t="shared" si="47"/>
        <v>0.9295238100041352</v>
      </c>
      <c r="FH8" s="20">
        <f t="shared" si="22"/>
        <v>5.4720527619498105</v>
      </c>
      <c r="FI8" s="59">
        <f t="shared" si="23"/>
        <v>298.8053860952831</v>
      </c>
      <c r="FJ8" s="59">
        <f ca="1">AVERAGE(OFFSET($FI$3,0,0,'Données projet'!$E$16+1,1))-AVERAGE(OFFSET($H$3,0,0,'Données projet'!$E$16+1,1))</f>
        <v>255.41017495879987</v>
      </c>
      <c r="FK8" s="59">
        <f t="shared" si="48"/>
        <v>297.50513563712764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6.1</v>
      </c>
      <c r="FZ8" s="12">
        <f>IF('Données projet'!$A$244&gt;35,FZ7+FY8-GH7,IF(A8&lt;'Données projet'!$A$244,$FW$205^A8,IF(A8='Données projet'!$A$244,'Données projet'!$B$244,FZ7+FY8-GH7)))</f>
        <v>3.3234561855374696</v>
      </c>
      <c r="GA8" s="17">
        <f>FZ8*VLOOKUP('Données projet'!$B$17,Paramètres!$A$1:$I$89,3,0)*VLOOKUP('Données projet'!$B$17,Paramètres!$A$1:$I$89,5,0)</f>
        <v>1.9874267989514072</v>
      </c>
      <c r="GB8" s="13">
        <f t="shared" si="49"/>
        <v>0.8455165593703301</v>
      </c>
      <c r="GC8" s="20">
        <f t="shared" si="25"/>
        <v>4.9340430157436925</v>
      </c>
      <c r="GD8" s="59">
        <f t="shared" si="26"/>
        <v>298.26737634907698</v>
      </c>
      <c r="GE8" s="59">
        <f ca="1">AVERAGE(OFFSET($GD$3,0,0,'Données projet'!$E$17+1,1))-AVERAGE(OFFSET($H$3,0,0,'Données projet'!$E$17+1,1))</f>
        <v>259.30247982593914</v>
      </c>
      <c r="GF8" s="59">
        <f t="shared" si="50"/>
        <v>275.24740346220779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4.75</v>
      </c>
      <c r="GU8" s="12">
        <f>IF('Données projet'!$A$270&gt;35,GU7+GT8-HC7,IF(A8&lt;'Données projet'!$A$270,$GR$205^A8,IF(A8='Données projet'!$A$270,'Données projet'!$B$270,GU7+GT8-HC7)))</f>
        <v>3.121985641352143</v>
      </c>
      <c r="GV8" s="17">
        <f>GU8*VLOOKUP('Données projet'!$B$18,Paramètres!$A$1:$I$89,3,0)*VLOOKUP('Données projet'!$B$18,Paramètres!$A$1:$I$89,5,0)</f>
        <v>2.4838517762597654</v>
      </c>
      <c r="GW8" s="13">
        <f t="shared" si="51"/>
        <v>1.0296393031124158</v>
      </c>
      <c r="GX8" s="20">
        <f t="shared" si="28"/>
        <v>6.1193302965732146</v>
      </c>
      <c r="GY8" s="59">
        <f t="shared" si="29"/>
        <v>299.45266362990651</v>
      </c>
      <c r="GZ8" s="59">
        <f ca="1">AVERAGE(OFFSET($GY$3,0,0,'Données projet'!$E$18+1,1))-AVERAGE(OFFSET($H$3,0,0,'Données projet'!$E$18+1,1))</f>
        <v>199.58763537752952</v>
      </c>
      <c r="HA8" s="59">
        <f t="shared" si="52"/>
        <v>242.62852778451929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300.14827444069743</v>
      </c>
      <c r="S9" s="59">
        <f ca="1">AVERAGE(OFFSET($R$3,0,0,'Données projet'!$E$9+1,1))-AVERAGE(OFFSET($H$3,0,0,'Données projet'!$E$9+1,1))</f>
        <v>237.22177246688199</v>
      </c>
      <c r="T9" s="59">
        <f t="shared" si="34"/>
        <v>149.27472147904302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3.111807635605039</v>
      </c>
      <c r="AK9" s="13">
        <f t="shared" si="35"/>
        <v>1.2565452240335246</v>
      </c>
      <c r="AL9" s="20">
        <f t="shared" si="4"/>
        <v>7.6082145638704972</v>
      </c>
      <c r="AM9" s="59">
        <f t="shared" si="5"/>
        <v>300.9415478972038</v>
      </c>
      <c r="AN9" s="59">
        <f ca="1">AVERAGE(OFFSET($AM$3,0,0,'Données projet'!$E$10+1,1))-AVERAGE(OFFSET($H$3,0,0,'Données projet'!$E$10+1,1))</f>
        <v>279.20364724206644</v>
      </c>
      <c r="AO9" s="59">
        <f t="shared" si="36"/>
        <v>173.99850582760712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7.9</v>
      </c>
      <c r="BD9" s="12">
        <f>IF('Données projet'!$A$88&gt;35,BD8+BC9-BL8,IF(A9&lt;'Données projet'!$A$88,$BA$205^A9,IF(A9='Données projet'!$A$88,'Données projet'!$B$88,BD8+BC9-BL8)))</f>
        <v>4.566643676946887</v>
      </c>
      <c r="BE9" s="13">
        <f>BD9*VLOOKUP('Données projet'!$B$11,Paramètres!$A$1:$I$89,3,0)*VLOOKUP('Données projet'!$B$11,Paramètres!$A$1:$I$89,5,0)</f>
        <v>2.1371892408111433</v>
      </c>
      <c r="BF9" s="13">
        <f t="shared" si="37"/>
        <v>0.9015738804633705</v>
      </c>
      <c r="BG9" s="20">
        <f t="shared" si="7"/>
        <v>5.292512436219778</v>
      </c>
      <c r="BH9" s="59">
        <f t="shared" si="8"/>
        <v>298.62584576955311</v>
      </c>
      <c r="BI9" s="59">
        <f ca="1">AVERAGE(OFFSET($BH$3,0,0,'Données projet'!$E$11+1,1))-AVERAGE(OFFSET($H$3,0,0,'Données projet'!$E$11+1,1))</f>
        <v>215.23235148064941</v>
      </c>
      <c r="BJ9" s="59">
        <f t="shared" si="38"/>
        <v>184.07239726900434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</v>
      </c>
      <c r="BY9" s="12">
        <f>IF('Données projet'!$A$114&gt;35,BY8+BX9-CG8,IF(A9&lt;'Données projet'!$A$114,$BV$205^A9,IF(A9='Données projet'!$A$114,'Données projet'!$B$114,BY8+BX9-CG8)))</f>
        <v>3.0688438220956993</v>
      </c>
      <c r="BZ9" s="13">
        <f>BY9*VLOOKUP('Données projet'!$B$12,Paramètres!$A$1:$I$89,3,0)*VLOOKUP('Données projet'!$B$12,Paramètres!$A$1:$I$89,5,0)</f>
        <v>3.3033034901038101</v>
      </c>
      <c r="CA9" s="13">
        <f t="shared" si="39"/>
        <v>1.3246310730107231</v>
      </c>
      <c r="CB9" s="20">
        <f t="shared" si="10"/>
        <v>8.0603193640911446</v>
      </c>
      <c r="CC9" s="59">
        <f t="shared" si="11"/>
        <v>301.39365269742444</v>
      </c>
      <c r="CD9" s="59">
        <f ca="1">AVERAGE(OFFSET($CC$3,0,0,'Données projet'!$E$12+1,1))-AVERAGE(OFFSET($H$3,0,0,'Données projet'!$E$12+1,1))</f>
        <v>303.1504619632214</v>
      </c>
      <c r="CE9" s="59">
        <f t="shared" si="40"/>
        <v>188.09929616366503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4.75</v>
      </c>
      <c r="CT9" s="12">
        <f>IF('Données projet'!$A$140&gt;35,CT8+CS9-DB8,IF(A9&lt;'Données projet'!$A$140,$CQ$205^A9,IF(A9='Données projet'!$A$140,'Données projet'!$B$140,CT8+CS9-DB8)))</f>
        <v>3.920279951613006</v>
      </c>
      <c r="CU9" s="17">
        <f>CT9*VLOOKUP('Données projet'!$B$13,Paramètres!$A$1:$I$89,3,0)*VLOOKUP('Données projet'!$B$13,Paramètres!$A$1:$I$89,5,0)</f>
        <v>2.6297237915420046</v>
      </c>
      <c r="CV9" s="13">
        <f t="shared" si="41"/>
        <v>1.0828907914123567</v>
      </c>
      <c r="CW9" s="20">
        <f t="shared" si="13"/>
        <v>6.4661370653121786</v>
      </c>
      <c r="CX9" s="59">
        <f t="shared" si="14"/>
        <v>299.7994703986455</v>
      </c>
      <c r="CY9" s="59">
        <f ca="1">AVERAGE(OFFSET($CX$3,0,0,'Données projet'!$E$13+1,1))-AVERAGE(OFFSET($H$3,0,0,'Données projet'!$E$13+1,1))</f>
        <v>156.63226020379989</v>
      </c>
      <c r="CZ9" s="59">
        <f t="shared" si="42"/>
        <v>196.0481096619543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16.600000000000001</v>
      </c>
      <c r="DO9" s="12">
        <f>IF('Données projet'!$A$166&gt;35,DO8+DN9-DW8,IF(A9&lt;'Données projet'!$A$166,$DL$205^A9,IF(A9='Données projet'!$A$166,'Données projet'!$B$166,DO8+DN9-DW8)))</f>
        <v>45.6</v>
      </c>
      <c r="DP9" s="17">
        <f>DO9*VLOOKUP('Données projet'!$B$14,Paramètres!$A$1:$I$89,3,0)*VLOOKUP('Données projet'!$B$14,Paramètres!$A$1:$I$89,5,0)</f>
        <v>41.258880000000005</v>
      </c>
      <c r="DQ9" s="13">
        <f t="shared" si="43"/>
        <v>12.331709063679407</v>
      </c>
      <c r="DR9" s="20">
        <f t="shared" si="16"/>
        <v>93.33694261924164</v>
      </c>
      <c r="DS9" s="59">
        <f t="shared" si="17"/>
        <v>386.67027595257497</v>
      </c>
      <c r="DT9" s="59">
        <f ca="1">AVERAGE(OFFSET($DS$3,0,0,'Données projet'!$E$14+1,1))-AVERAGE(OFFSET($H$3,0,0,'Données projet'!$E$14+1,1))</f>
        <v>225.28075317732998</v>
      </c>
      <c r="DU9" s="59">
        <f t="shared" si="44"/>
        <v>358.43407531256207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0.94482148406840638</v>
      </c>
      <c r="EC9" s="21">
        <f>EXP(-LN(2)/2)*EC8+(1-EXP(-LN(2)/2))/(LN(2)/2)*DW9*DZ9*VLOOKUP('Données projet'!$B$14,Paramètres!$A$1:$I$89,3,0)*0.475*44/12</f>
        <v>1.9618926864432318</v>
      </c>
      <c r="ED9" s="22">
        <f t="shared" si="18"/>
        <v>2.9067141705116382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1.2</v>
      </c>
      <c r="EJ9" s="12">
        <f>IF('Données projet'!$A$192&gt;35,EJ8+EI9-ER8,IF(A9&lt;'Données projet'!$A$192,$EG$205^A9,IF(A9='Données projet'!$A$192,'Données projet'!$B$192,EJ8+EI9-ER8)))</f>
        <v>4.4412860698458383</v>
      </c>
      <c r="EK9" s="17">
        <f>EJ9*VLOOKUP('Données projet'!$B$15,Paramètres!$A$1:$I$89,3,0)*VLOOKUP('Données projet'!$B$15,Paramètres!$A$1:$I$89,5,0)</f>
        <v>2.4826789130438236</v>
      </c>
      <c r="EL9" s="13">
        <f t="shared" si="45"/>
        <v>1.0292096930485513</v>
      </c>
      <c r="EM9" s="20">
        <f t="shared" si="19"/>
        <v>6.1165393222775526</v>
      </c>
      <c r="EN9" s="59">
        <f t="shared" si="20"/>
        <v>299.44987265561087</v>
      </c>
      <c r="EO9" s="59">
        <f ca="1">AVERAGE(OFFSET($EN$3,0,0,'Données projet'!$E$15+1,1))-AVERAGE(OFFSET($H$3,0,0,'Données projet'!$E$15+1,1))</f>
        <v>326.31232746914907</v>
      </c>
      <c r="EP9" s="59">
        <f t="shared" si="46"/>
        <v>330.17137761430297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7.9</v>
      </c>
      <c r="FE9" s="12">
        <f>IF('Données projet'!$A$218&gt;35,FE8+FD9-FM8,IF(A9&lt;'Données projet'!$A$218,$FB$205^A9,IF(A9='Données projet'!$A$218,'Données projet'!$B$218,FE8+FD9-FM8)))</f>
        <v>4.566643676946887</v>
      </c>
      <c r="FF9" s="17">
        <f>FE9*VLOOKUP('Données projet'!$B$16,Paramètres!$A$1:$I$89,3,0)*VLOOKUP('Données projet'!$B$16,Paramètres!$A$1:$I$89,5,0)</f>
        <v>2.8495856544148572</v>
      </c>
      <c r="FG9" s="13">
        <f t="shared" si="47"/>
        <v>1.1625113156650257</v>
      </c>
      <c r="FH9" s="20">
        <f t="shared" si="22"/>
        <v>6.9877355562224617</v>
      </c>
      <c r="FI9" s="59">
        <f t="shared" si="23"/>
        <v>300.32106888955576</v>
      </c>
      <c r="FJ9" s="59">
        <f ca="1">AVERAGE(OFFSET($FI$3,0,0,'Données projet'!$E$16+1,1))-AVERAGE(OFFSET($H$3,0,0,'Données projet'!$E$16+1,1))</f>
        <v>255.41017495879987</v>
      </c>
      <c r="FK9" s="59">
        <f t="shared" si="48"/>
        <v>297.50513563712764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6.1</v>
      </c>
      <c r="FZ9" s="12">
        <f>IF('Données projet'!$A$244&gt;35,FZ8+FY9-GH8,IF(A9&lt;'Données projet'!$A$244,$FW$205^A9,IF(A9='Données projet'!$A$244,'Données projet'!$B$244,FZ8+FY9-GH8)))</f>
        <v>4.2257903711989933</v>
      </c>
      <c r="GA9" s="17">
        <f>FZ9*VLOOKUP('Données projet'!$B$17,Paramètres!$A$1:$I$89,3,0)*VLOOKUP('Données projet'!$B$17,Paramètres!$A$1:$I$89,5,0)</f>
        <v>2.5270226419769983</v>
      </c>
      <c r="GB9" s="13">
        <f t="shared" si="49"/>
        <v>1.0454361055231738</v>
      </c>
      <c r="GC9" s="20">
        <f t="shared" si="25"/>
        <v>6.2220323185627997</v>
      </c>
      <c r="GD9" s="59">
        <f t="shared" si="26"/>
        <v>299.55536565189612</v>
      </c>
      <c r="GE9" s="59">
        <f ca="1">AVERAGE(OFFSET($GD$3,0,0,'Données projet'!$E$17+1,1))-AVERAGE(OFFSET($H$3,0,0,'Données projet'!$E$17+1,1))</f>
        <v>259.30247982593914</v>
      </c>
      <c r="GF9" s="59">
        <f t="shared" si="50"/>
        <v>275.24740346220779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4.75</v>
      </c>
      <c r="GU9" s="12">
        <f>IF('Données projet'!$A$270&gt;35,GU8+GT9-HC8,IF(A9&lt;'Données projet'!$A$270,$GR$205^A9,IF(A9='Données projet'!$A$270,'Données projet'!$B$270,GU8+GT9-HC8)))</f>
        <v>3.920279951613006</v>
      </c>
      <c r="GV9" s="17">
        <f>GU9*VLOOKUP('Données projet'!$B$18,Paramètres!$A$1:$I$89,3,0)*VLOOKUP('Données projet'!$B$18,Paramètres!$A$1:$I$89,5,0)</f>
        <v>3.1189747295033077</v>
      </c>
      <c r="GW9" s="13">
        <f t="shared" si="51"/>
        <v>1.2591020785273992</v>
      </c>
      <c r="GX9" s="20">
        <f t="shared" si="28"/>
        <v>7.6251504406534805</v>
      </c>
      <c r="GY9" s="59">
        <f t="shared" si="29"/>
        <v>300.95848377398681</v>
      </c>
      <c r="GZ9" s="59">
        <f ca="1">AVERAGE(OFFSET($GY$3,0,0,'Données projet'!$E$18+1,1))-AVERAGE(OFFSET($H$3,0,0,'Données projet'!$E$18+1,1))</f>
        <v>199.58763537752952</v>
      </c>
      <c r="HA9" s="59">
        <f t="shared" si="52"/>
        <v>242.62852778451929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301.49732286519185</v>
      </c>
      <c r="S10" s="59">
        <f ca="1">AVERAGE(OFFSET($R$3,0,0,'Données projet'!$E$9+1,1))-AVERAGE(OFFSET($H$3,0,0,'Données projet'!$E$9+1,1))</f>
        <v>237.22177246688199</v>
      </c>
      <c r="T10" s="59">
        <f t="shared" si="34"/>
        <v>149.27472147904302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3.7512430744326299</v>
      </c>
      <c r="AK10" s="13">
        <f t="shared" si="35"/>
        <v>1.4821538192545303</v>
      </c>
      <c r="AL10" s="20">
        <f t="shared" si="4"/>
        <v>9.1148329231718037</v>
      </c>
      <c r="AM10" s="59">
        <f t="shared" si="5"/>
        <v>302.44816625650515</v>
      </c>
      <c r="AN10" s="59">
        <f ca="1">AVERAGE(OFFSET($AM$3,0,0,'Données projet'!$E$10+1,1))-AVERAGE(OFFSET($H$3,0,0,'Données projet'!$E$10+1,1))</f>
        <v>279.20364724206644</v>
      </c>
      <c r="AO10" s="59">
        <f t="shared" si="36"/>
        <v>173.99850582760712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7.9</v>
      </c>
      <c r="BD10" s="12">
        <f>IF('Données projet'!$A$88&gt;35,BD9+BC10-BL9,IF(A10&lt;'Données projet'!$A$88,$BA$205^A10,IF(A10='Données projet'!$A$88,'Données projet'!$B$88,BD9+BC10-BL9)))</f>
        <v>5.8820671812210037</v>
      </c>
      <c r="BE10" s="13">
        <f>BD10*VLOOKUP('Données projet'!$B$11,Paramètres!$A$1:$I$89,3,0)*VLOOKUP('Données projet'!$B$11,Paramètres!$A$1:$I$89,5,0)</f>
        <v>2.7528074408114294</v>
      </c>
      <c r="BF10" s="13">
        <f t="shared" si="37"/>
        <v>1.1275556652411438</v>
      </c>
      <c r="BG10" s="20">
        <f t="shared" si="7"/>
        <v>6.7582990763748976</v>
      </c>
      <c r="BH10" s="59">
        <f t="shared" si="8"/>
        <v>300.09163240970821</v>
      </c>
      <c r="BI10" s="59">
        <f ca="1">AVERAGE(OFFSET($BH$3,0,0,'Données projet'!$E$11+1,1))-AVERAGE(OFFSET($H$3,0,0,'Données projet'!$E$11+1,1))</f>
        <v>215.23235148064941</v>
      </c>
      <c r="BJ10" s="59">
        <f t="shared" si="38"/>
        <v>184.07239726900434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</v>
      </c>
      <c r="BY10" s="12">
        <f>IF('Données projet'!$A$114&gt;35,BY9+BX10-CG9,IF(A10&lt;'Données projet'!$A$114,$BV$205^A10,IF(A10='Données projet'!$A$114,'Données projet'!$B$114,BY9+BX10-CG9)))</f>
        <v>3.6994507637402658</v>
      </c>
      <c r="BZ10" s="13">
        <f>BY10*VLOOKUP('Données projet'!$B$12,Paramètres!$A$1:$I$89,3,0)*VLOOKUP('Données projet'!$B$12,Paramètres!$A$1:$I$89,5,0)</f>
        <v>3.982088802090022</v>
      </c>
      <c r="CA10" s="13">
        <f t="shared" si="39"/>
        <v>1.5624642602705792</v>
      </c>
      <c r="CB10" s="20">
        <f t="shared" si="10"/>
        <v>9.6567632502780452</v>
      </c>
      <c r="CC10" s="59">
        <f t="shared" si="11"/>
        <v>302.99009658361138</v>
      </c>
      <c r="CD10" s="59">
        <f ca="1">AVERAGE(OFFSET($CC$3,0,0,'Données projet'!$E$12+1,1))-AVERAGE(OFFSET($H$3,0,0,'Données projet'!$E$12+1,1))</f>
        <v>303.1504619632214</v>
      </c>
      <c r="CE10" s="59">
        <f t="shared" si="40"/>
        <v>188.09929616366503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4.75</v>
      </c>
      <c r="CT10" s="12">
        <f>IF('Données projet'!$A$140&gt;35,CT9+CS10-DB9,IF(A10&lt;'Données projet'!$A$140,$CQ$205^A10,IF(A10='Données projet'!$A$140,'Données projet'!$B$140,CT9+CS10-DB9)))</f>
        <v>4.9226987771675601</v>
      </c>
      <c r="CU10" s="17">
        <f>CT10*VLOOKUP('Données projet'!$B$13,Paramètres!$A$1:$I$89,3,0)*VLOOKUP('Données projet'!$B$13,Paramètres!$A$1:$I$89,5,0)</f>
        <v>3.3021463397239992</v>
      </c>
      <c r="CV10" s="13">
        <f t="shared" si="41"/>
        <v>1.3242210569895227</v>
      </c>
      <c r="CW10" s="20">
        <f t="shared" si="13"/>
        <v>8.057589882609383</v>
      </c>
      <c r="CX10" s="59">
        <f t="shared" si="14"/>
        <v>301.39092321594268</v>
      </c>
      <c r="CY10" s="59">
        <f ca="1">AVERAGE(OFFSET($CX$3,0,0,'Données projet'!$E$13+1,1))-AVERAGE(OFFSET($H$3,0,0,'Données projet'!$E$13+1,1))</f>
        <v>156.63226020379989</v>
      </c>
      <c r="CZ10" s="59">
        <f t="shared" si="42"/>
        <v>196.0481096619543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16.600000000000001</v>
      </c>
      <c r="DO10" s="12">
        <f>IF('Données projet'!$A$166&gt;35,DO9+DN10-DW9,IF(A10&lt;'Données projet'!$A$166,$DL$205^A10,IF(A10='Données projet'!$A$166,'Données projet'!$B$166,DO9+DN10-DW9)))</f>
        <v>62.2</v>
      </c>
      <c r="DP10" s="17">
        <f>DO10*VLOOKUP('Données projet'!$B$14,Paramètres!$A$1:$I$89,3,0)*VLOOKUP('Données projet'!$B$14,Paramètres!$A$1:$I$89,5,0)</f>
        <v>56.278560000000006</v>
      </c>
      <c r="DQ10" s="13">
        <f t="shared" si="43"/>
        <v>16.223894703537749</v>
      </c>
      <c r="DR10" s="20">
        <f t="shared" si="16"/>
        <v>126.27510860866158</v>
      </c>
      <c r="DS10" s="59">
        <f t="shared" si="17"/>
        <v>419.6084419419949</v>
      </c>
      <c r="DT10" s="59">
        <f ca="1">AVERAGE(OFFSET($DS$3,0,0,'Données projet'!$E$14+1,1))-AVERAGE(OFFSET($H$3,0,0,'Données projet'!$E$14+1,1))</f>
        <v>225.28075317732998</v>
      </c>
      <c r="DU10" s="59">
        <f t="shared" si="44"/>
        <v>358.43407531256207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0.91898529090055336</v>
      </c>
      <c r="EC10" s="21">
        <f>EXP(-LN(2)/2)*EC9+(1-EXP(-LN(2)/2))/(LN(2)/2)*DW10*DZ10*VLOOKUP('Données projet'!$B$14,Paramètres!$A$1:$I$89,3,0)*0.475*44/12</f>
        <v>1.3872676225443024</v>
      </c>
      <c r="ED10" s="22">
        <f t="shared" si="18"/>
        <v>2.3062529134448555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1.2</v>
      </c>
      <c r="EJ10" s="12">
        <f>IF('Données projet'!$A$192&gt;35,EJ9+EI10-ER9,IF(A10&lt;'Données projet'!$A$192,$EG$205^A10,IF(A10='Données projet'!$A$192,'Données projet'!$B$192,EJ9+EI10-ER9)))</f>
        <v>5.6941233675162577</v>
      </c>
      <c r="EK10" s="17">
        <f>EJ10*VLOOKUP('Données projet'!$B$15,Paramètres!$A$1:$I$89,3,0)*VLOOKUP('Données projet'!$B$15,Paramètres!$A$1:$I$89,5,0)</f>
        <v>3.1830149624415882</v>
      </c>
      <c r="EL10" s="13">
        <f t="shared" si="45"/>
        <v>1.2819182270325931</v>
      </c>
      <c r="EM10" s="20">
        <f t="shared" si="19"/>
        <v>7.776425305000866</v>
      </c>
      <c r="EN10" s="59">
        <f t="shared" si="20"/>
        <v>301.1097586383342</v>
      </c>
      <c r="EO10" s="59">
        <f ca="1">AVERAGE(OFFSET($EN$3,0,0,'Données projet'!$E$15+1,1))-AVERAGE(OFFSET($H$3,0,0,'Données projet'!$E$15+1,1))</f>
        <v>326.31232746914907</v>
      </c>
      <c r="EP10" s="59">
        <f t="shared" si="46"/>
        <v>330.17137761430297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7.9</v>
      </c>
      <c r="FE10" s="12">
        <f>IF('Données projet'!$A$218&gt;35,FE9+FD10-FM9,IF(A10&lt;'Données projet'!$A$218,$FB$205^A10,IF(A10='Données projet'!$A$218,'Données projet'!$B$218,FE9+FD10-FM9)))</f>
        <v>5.8820671812210037</v>
      </c>
      <c r="FF10" s="17">
        <f>FE10*VLOOKUP('Données projet'!$B$16,Paramètres!$A$1:$I$89,3,0)*VLOOKUP('Données projet'!$B$16,Paramètres!$A$1:$I$89,5,0)</f>
        <v>3.6704099210819061</v>
      </c>
      <c r="FG10" s="13">
        <f t="shared" si="47"/>
        <v>1.4538977318324067</v>
      </c>
      <c r="FH10" s="20">
        <f t="shared" si="22"/>
        <v>8.9248358288257617</v>
      </c>
      <c r="FI10" s="59">
        <f t="shared" si="23"/>
        <v>302.25816916215905</v>
      </c>
      <c r="FJ10" s="59">
        <f ca="1">AVERAGE(OFFSET($FI$3,0,0,'Données projet'!$E$16+1,1))-AVERAGE(OFFSET($H$3,0,0,'Données projet'!$E$16+1,1))</f>
        <v>255.41017495879987</v>
      </c>
      <c r="FK10" s="59">
        <f t="shared" si="48"/>
        <v>297.50513563712764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6.1</v>
      </c>
      <c r="FZ10" s="12">
        <f>IF('Données projet'!$A$244&gt;35,FZ9+FY10-GH9,IF(A10&lt;'Données projet'!$A$244,$FW$205^A10,IF(A10='Données projet'!$A$244,'Données projet'!$B$244,FZ9+FY10-GH9)))</f>
        <v>5.3731125865377525</v>
      </c>
      <c r="GA10" s="17">
        <f>FZ10*VLOOKUP('Données projet'!$B$17,Paramètres!$A$1:$I$89,3,0)*VLOOKUP('Données projet'!$B$17,Paramètres!$A$1:$I$89,5,0)</f>
        <v>3.213121326749576</v>
      </c>
      <c r="GB10" s="13">
        <f t="shared" si="49"/>
        <v>1.2926259558362623</v>
      </c>
      <c r="GC10" s="20">
        <f t="shared" si="25"/>
        <v>7.8475098505036698</v>
      </c>
      <c r="GD10" s="59">
        <f t="shared" si="26"/>
        <v>301.180843183837</v>
      </c>
      <c r="GE10" s="59">
        <f ca="1">AVERAGE(OFFSET($GD$3,0,0,'Données projet'!$E$17+1,1))-AVERAGE(OFFSET($H$3,0,0,'Données projet'!$E$17+1,1))</f>
        <v>259.30247982593914</v>
      </c>
      <c r="GF10" s="59">
        <f t="shared" si="50"/>
        <v>275.24740346220779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4.75</v>
      </c>
      <c r="GU10" s="12">
        <f>IF('Données projet'!$A$270&gt;35,GU9+GT10-HC9,IF(A10&lt;'Données projet'!$A$270,$GR$205^A10,IF(A10='Données projet'!$A$270,'Données projet'!$B$270,GU9+GT10-HC9)))</f>
        <v>4.9226987771675601</v>
      </c>
      <c r="GV10" s="17">
        <f>GU10*VLOOKUP('Données projet'!$B$18,Paramètres!$A$1:$I$89,3,0)*VLOOKUP('Données projet'!$B$18,Paramètres!$A$1:$I$89,5,0)</f>
        <v>3.9164991471145107</v>
      </c>
      <c r="GW10" s="13">
        <f t="shared" si="51"/>
        <v>1.5397023397997951</v>
      </c>
      <c r="GX10" s="20">
        <f t="shared" si="28"/>
        <v>9.5028842563757507</v>
      </c>
      <c r="GY10" s="59">
        <f t="shared" si="29"/>
        <v>302.83621758970907</v>
      </c>
      <c r="GZ10" s="59">
        <f ca="1">AVERAGE(OFFSET($GY$3,0,0,'Données projet'!$E$18+1,1))-AVERAGE(OFFSET($H$3,0,0,'Données projet'!$E$18+1,1))</f>
        <v>199.58763537752952</v>
      </c>
      <c r="HA10" s="59">
        <f t="shared" si="52"/>
        <v>242.62852778451929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303.11436643935451</v>
      </c>
      <c r="S11" s="59">
        <f ca="1">AVERAGE(OFFSET($R$3,0,0,'Données projet'!$E$9+1,1))-AVERAGE(OFFSET($H$3,0,0,'Données projet'!$E$9+1,1))</f>
        <v>237.22177246688199</v>
      </c>
      <c r="T11" s="59">
        <f t="shared" si="34"/>
        <v>149.27472147904302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4.5220740647558486</v>
      </c>
      <c r="AK11" s="13">
        <f t="shared" si="35"/>
        <v>1.7482697016499746</v>
      </c>
      <c r="AL11" s="20">
        <f t="shared" si="4"/>
        <v>10.92084872649014</v>
      </c>
      <c r="AM11" s="59">
        <f t="shared" si="5"/>
        <v>304.25418205982345</v>
      </c>
      <c r="AN11" s="59">
        <f ca="1">AVERAGE(OFFSET($AM$3,0,0,'Données projet'!$E$10+1,1))-AVERAGE(OFFSET($H$3,0,0,'Données projet'!$E$10+1,1))</f>
        <v>279.20364724206644</v>
      </c>
      <c r="AO11" s="59">
        <f t="shared" si="36"/>
        <v>173.99850582760712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7.9</v>
      </c>
      <c r="BD11" s="12">
        <f>IF('Données projet'!$A$88&gt;35,BD10+BC11-BL10,IF(A11&lt;'Données projet'!$A$88,$BA$205^A11,IF(A11='Données projet'!$A$88,'Données projet'!$B$88,BD10+BC11-BL10)))</f>
        <v>7.5763989424129567</v>
      </c>
      <c r="BE11" s="13">
        <f>BD11*VLOOKUP('Données projet'!$B$11,Paramètres!$A$1:$I$89,3,0)*VLOOKUP('Données projet'!$B$11,Paramètres!$A$1:$I$89,5,0)</f>
        <v>3.5457547050492639</v>
      </c>
      <c r="BF11" s="13">
        <f t="shared" si="37"/>
        <v>1.4101803587787649</v>
      </c>
      <c r="BG11" s="20">
        <f t="shared" si="7"/>
        <v>8.631586902833817</v>
      </c>
      <c r="BH11" s="59">
        <f t="shared" si="8"/>
        <v>301.96492023616713</v>
      </c>
      <c r="BI11" s="59">
        <f ca="1">AVERAGE(OFFSET($BH$3,0,0,'Données projet'!$E$11+1,1))-AVERAGE(OFFSET($H$3,0,0,'Données projet'!$E$11+1,1))</f>
        <v>215.23235148064941</v>
      </c>
      <c r="BJ11" s="59">
        <f t="shared" si="38"/>
        <v>184.07239726900434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</v>
      </c>
      <c r="BY11" s="12">
        <f>IF('Données projet'!$A$114&gt;35,BY10+BX11-CG10,IF(A11&lt;'Données projet'!$A$114,$BV$205^A11,IF(A11='Données projet'!$A$114,'Données projet'!$B$114,BY10+BX11-CG10)))</f>
        <v>4.4596391171162209</v>
      </c>
      <c r="BZ11" s="13">
        <f>BY11*VLOOKUP('Données projet'!$B$12,Paramètres!$A$1:$I$89,3,0)*VLOOKUP('Données projet'!$B$12,Paramètres!$A$1:$I$89,5,0)</f>
        <v>4.8003555456638995</v>
      </c>
      <c r="CA11" s="13">
        <f t="shared" si="39"/>
        <v>1.8429996203200378</v>
      </c>
      <c r="CB11" s="20">
        <f t="shared" si="10"/>
        <v>11.570510247422023</v>
      </c>
      <c r="CC11" s="59">
        <f t="shared" si="11"/>
        <v>304.90384358075534</v>
      </c>
      <c r="CD11" s="59">
        <f ca="1">AVERAGE(OFFSET($CC$3,0,0,'Données projet'!$E$12+1,1))-AVERAGE(OFFSET($H$3,0,0,'Données projet'!$E$12+1,1))</f>
        <v>303.1504619632214</v>
      </c>
      <c r="CE11" s="59">
        <f t="shared" si="40"/>
        <v>188.09929616366503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4.75</v>
      </c>
      <c r="CT11" s="12">
        <f>IF('Données projet'!$A$140&gt;35,CT10+CS11-DB10,IF(A11&lt;'Données projet'!$A$140,$CQ$205^A11,IF(A11='Données projet'!$A$140,'Données projet'!$B$140,CT10+CS11-DB10)))</f>
        <v>6.1814369253798551</v>
      </c>
      <c r="CU11" s="17">
        <f>CT11*VLOOKUP('Données projet'!$B$13,Paramètres!$A$1:$I$89,3,0)*VLOOKUP('Données projet'!$B$13,Paramètres!$A$1:$I$89,5,0)</f>
        <v>4.1465078895448073</v>
      </c>
      <c r="CV11" s="13">
        <f t="shared" si="41"/>
        <v>1.6193335668570716</v>
      </c>
      <c r="CW11" s="20">
        <f t="shared" si="13"/>
        <v>10.042173869899939</v>
      </c>
      <c r="CX11" s="59">
        <f t="shared" si="14"/>
        <v>303.37550720323327</v>
      </c>
      <c r="CY11" s="59">
        <f ca="1">AVERAGE(OFFSET($CX$3,0,0,'Données projet'!$E$13+1,1))-AVERAGE(OFFSET($H$3,0,0,'Données projet'!$E$13+1,1))</f>
        <v>156.63226020379989</v>
      </c>
      <c r="CZ11" s="59">
        <f t="shared" si="42"/>
        <v>196.0481096619543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16.600000000000001</v>
      </c>
      <c r="DO11" s="12">
        <f>IF('Données projet'!$A$166&gt;35,DO10+DN11-DW10,IF(A11&lt;'Données projet'!$A$166,$DL$205^A11,IF(A11='Données projet'!$A$166,'Données projet'!$B$166,DO10+DN11-DW10)))</f>
        <v>78.800000000000011</v>
      </c>
      <c r="DP11" s="17">
        <f>DO11*VLOOKUP('Données projet'!$B$14,Paramètres!$A$1:$I$89,3,0)*VLOOKUP('Données projet'!$B$14,Paramètres!$A$1:$I$89,5,0)</f>
        <v>71.298240000000007</v>
      </c>
      <c r="DQ11" s="13">
        <f t="shared" si="43"/>
        <v>19.995510702345133</v>
      </c>
      <c r="DR11" s="20">
        <f t="shared" si="16"/>
        <v>159.00328247325112</v>
      </c>
      <c r="DS11" s="59">
        <f t="shared" si="17"/>
        <v>452.3366158065844</v>
      </c>
      <c r="DT11" s="59">
        <f ca="1">AVERAGE(OFFSET($DS$3,0,0,'Données projet'!$E$14+1,1))-AVERAGE(OFFSET($H$3,0,0,'Données projet'!$E$14+1,1))</f>
        <v>225.28075317732998</v>
      </c>
      <c r="DU11" s="59">
        <f t="shared" si="44"/>
        <v>358.43407531256207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0.89385558979354163</v>
      </c>
      <c r="EC11" s="21">
        <f>EXP(-LN(2)/2)*EC10+(1-EXP(-LN(2)/2))/(LN(2)/2)*DW11*DZ11*VLOOKUP('Données projet'!$B$14,Paramètres!$A$1:$I$89,3,0)*0.475*44/12</f>
        <v>0.98094634322161611</v>
      </c>
      <c r="ED11" s="22">
        <f t="shared" si="18"/>
        <v>1.8748019330151577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1.2</v>
      </c>
      <c r="EJ11" s="12">
        <f>IF('Données projet'!$A$192&gt;35,EJ10+EI11-ER10,IF(A11&lt;'Données projet'!$A$192,$EG$205^A11,IF(A11='Données projet'!$A$192,'Données projet'!$B$192,EJ10+EI11-ER10)))</f>
        <v>7.3003721027184652</v>
      </c>
      <c r="EK11" s="17">
        <f>EJ11*VLOOKUP('Données projet'!$B$15,Paramètres!$A$1:$I$89,3,0)*VLOOKUP('Données projet'!$B$15,Paramètres!$A$1:$I$89,5,0)</f>
        <v>4.0809080054196221</v>
      </c>
      <c r="EL11" s="13">
        <f t="shared" si="45"/>
        <v>1.5966759270706423</v>
      </c>
      <c r="EM11" s="20">
        <f t="shared" si="19"/>
        <v>9.8884586824205432</v>
      </c>
      <c r="EN11" s="59">
        <f t="shared" si="20"/>
        <v>303.22179201575386</v>
      </c>
      <c r="EO11" s="59">
        <f ca="1">AVERAGE(OFFSET($EN$3,0,0,'Données projet'!$E$15+1,1))-AVERAGE(OFFSET($H$3,0,0,'Données projet'!$E$15+1,1))</f>
        <v>326.31232746914907</v>
      </c>
      <c r="EP11" s="59">
        <f t="shared" si="46"/>
        <v>330.17137761430297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7.9</v>
      </c>
      <c r="FE11" s="12">
        <f>IF('Données projet'!$A$218&gt;35,FE10+FD11-FM10,IF(A11&lt;'Données projet'!$A$218,$FB$205^A11,IF(A11='Données projet'!$A$218,'Données projet'!$B$218,FE10+FD11-FM10)))</f>
        <v>7.5763989424129567</v>
      </c>
      <c r="FF11" s="17">
        <f>FE11*VLOOKUP('Données projet'!$B$16,Paramètres!$A$1:$I$89,3,0)*VLOOKUP('Données projet'!$B$16,Paramètres!$A$1:$I$89,5,0)</f>
        <v>4.7276729400656849</v>
      </c>
      <c r="FG11" s="13">
        <f t="shared" si="47"/>
        <v>1.8183208938643207</v>
      </c>
      <c r="FH11" s="20">
        <f t="shared" si="22"/>
        <v>11.400939260761424</v>
      </c>
      <c r="FI11" s="59">
        <f t="shared" si="23"/>
        <v>304.73427259409476</v>
      </c>
      <c r="FJ11" s="59">
        <f ca="1">AVERAGE(OFFSET($FI$3,0,0,'Données projet'!$E$16+1,1))-AVERAGE(OFFSET($H$3,0,0,'Données projet'!$E$16+1,1))</f>
        <v>255.41017495879987</v>
      </c>
      <c r="FK11" s="59">
        <f t="shared" si="48"/>
        <v>297.50513563712764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6.1</v>
      </c>
      <c r="FZ11" s="12">
        <f>IF('Données projet'!$A$244&gt;35,FZ10+FY11-GH10,IF(A11&lt;'Données projet'!$A$244,$FW$205^A11,IF(A11='Données projet'!$A$244,'Données projet'!$B$244,FZ10+FY11-GH10)))</f>
        <v>6.8319382486119329</v>
      </c>
      <c r="GA11" s="17">
        <f>FZ11*VLOOKUP('Données projet'!$B$17,Paramètres!$A$1:$I$89,3,0)*VLOOKUP('Données projet'!$B$17,Paramètres!$A$1:$I$89,5,0)</f>
        <v>4.0854990726699363</v>
      </c>
      <c r="GB11" s="13">
        <f t="shared" si="49"/>
        <v>1.5982630147113981</v>
      </c>
      <c r="GC11" s="20">
        <f t="shared" si="25"/>
        <v>9.8992189688558234</v>
      </c>
      <c r="GD11" s="59">
        <f t="shared" si="26"/>
        <v>303.23255230218916</v>
      </c>
      <c r="GE11" s="59">
        <f ca="1">AVERAGE(OFFSET($GD$3,0,0,'Données projet'!$E$17+1,1))-AVERAGE(OFFSET($H$3,0,0,'Données projet'!$E$17+1,1))</f>
        <v>259.30247982593914</v>
      </c>
      <c r="GF11" s="59">
        <f t="shared" si="50"/>
        <v>275.24740346220779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4.75</v>
      </c>
      <c r="GU11" s="12">
        <f>IF('Données projet'!$A$270&gt;35,GU10+GT11-HC10,IF(A11&lt;'Données projet'!$A$270,$GR$205^A11,IF(A11='Données projet'!$A$270,'Données projet'!$B$270,GU10+GT11-HC10)))</f>
        <v>6.1814369253798551</v>
      </c>
      <c r="GV11" s="17">
        <f>GU11*VLOOKUP('Données projet'!$B$18,Paramètres!$A$1:$I$89,3,0)*VLOOKUP('Données projet'!$B$18,Paramètres!$A$1:$I$89,5,0)</f>
        <v>4.9179512178322131</v>
      </c>
      <c r="GW11" s="13">
        <f t="shared" si="51"/>
        <v>1.8828364559270923</v>
      </c>
      <c r="GX11" s="20">
        <f t="shared" si="28"/>
        <v>11.844705198464125</v>
      </c>
      <c r="GY11" s="59">
        <f t="shared" si="29"/>
        <v>305.17803853179743</v>
      </c>
      <c r="GZ11" s="59">
        <f ca="1">AVERAGE(OFFSET($GY$3,0,0,'Données projet'!$E$18+1,1))-AVERAGE(OFFSET($H$3,0,0,'Données projet'!$E$18+1,1))</f>
        <v>199.58763537752952</v>
      </c>
      <c r="HA11" s="59">
        <f t="shared" si="52"/>
        <v>242.62852778451929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305.05281983783436</v>
      </c>
      <c r="S12" s="59">
        <f ca="1">AVERAGE(OFFSET($R$3,0,0,'Données projet'!$E$9+1,1))-AVERAGE(OFFSET($H$3,0,0,'Données projet'!$E$9+1,1))</f>
        <v>237.22177246688199</v>
      </c>
      <c r="T12" s="59">
        <f t="shared" si="34"/>
        <v>149.27472147904302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5.4513006599100189</v>
      </c>
      <c r="AK12" s="13">
        <f t="shared" si="35"/>
        <v>2.062165822468125</v>
      </c>
      <c r="AL12" s="20">
        <f t="shared" si="4"/>
        <v>13.085954123475267</v>
      </c>
      <c r="AM12" s="59">
        <f t="shared" si="5"/>
        <v>306.4192874568086</v>
      </c>
      <c r="AN12" s="59">
        <f ca="1">AVERAGE(OFFSET($AM$3,0,0,'Données projet'!$E$10+1,1))-AVERAGE(OFFSET($H$3,0,0,'Données projet'!$E$10+1,1))</f>
        <v>279.20364724206644</v>
      </c>
      <c r="AO12" s="59">
        <f t="shared" si="36"/>
        <v>173.99850582760712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7.9</v>
      </c>
      <c r="BD12" s="12">
        <f>IF('Données projet'!$A$88&gt;35,BD11+BC12-BL11,IF(A12&lt;'Données projet'!$A$88,$BA$205^A12,IF(A12='Données projet'!$A$88,'Données projet'!$B$88,BD11+BC12-BL11)))</f>
        <v>9.7587836327093171</v>
      </c>
      <c r="BE12" s="13">
        <f>BD12*VLOOKUP('Données projet'!$B$11,Paramètres!$A$1:$I$89,3,0)*VLOOKUP('Données projet'!$B$11,Paramètres!$A$1:$I$89,5,0)</f>
        <v>4.5671107401079603</v>
      </c>
      <c r="BF12" s="13">
        <f t="shared" si="37"/>
        <v>1.763645650133036</v>
      </c>
      <c r="BG12" s="20">
        <f t="shared" si="7"/>
        <v>11.026067379669733</v>
      </c>
      <c r="BH12" s="59">
        <f t="shared" si="8"/>
        <v>304.35940071300303</v>
      </c>
      <c r="BI12" s="59">
        <f ca="1">AVERAGE(OFFSET($BH$3,0,0,'Données projet'!$E$11+1,1))-AVERAGE(OFFSET($H$3,0,0,'Données projet'!$E$11+1,1))</f>
        <v>215.23235148064941</v>
      </c>
      <c r="BJ12" s="59">
        <f t="shared" si="38"/>
        <v>184.07239726900434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</v>
      </c>
      <c r="BY12" s="12">
        <f>IF('Données projet'!$A$114&gt;35,BY11+BX12-CG11,IF(A12&lt;'Données projet'!$A$114,$BV$205^A12,IF(A12='Données projet'!$A$114,'Données projet'!$B$114,BY11+BX12-CG11)))</f>
        <v>5.3760361537574148</v>
      </c>
      <c r="BZ12" s="13">
        <f>BY12*VLOOKUP('Données projet'!$B$12,Paramètres!$A$1:$I$89,3,0)*VLOOKUP('Données projet'!$B$12,Paramètres!$A$1:$I$89,5,0)</f>
        <v>5.7867653159044812</v>
      </c>
      <c r="CA12" s="13">
        <f t="shared" si="39"/>
        <v>2.1739041889582755</v>
      </c>
      <c r="CB12" s="20">
        <f t="shared" si="10"/>
        <v>13.864832720969302</v>
      </c>
      <c r="CC12" s="59">
        <f t="shared" si="11"/>
        <v>307.19816605430259</v>
      </c>
      <c r="CD12" s="59">
        <f ca="1">AVERAGE(OFFSET($CC$3,0,0,'Données projet'!$E$12+1,1))-AVERAGE(OFFSET($H$3,0,0,'Données projet'!$E$12+1,1))</f>
        <v>303.1504619632214</v>
      </c>
      <c r="CE12" s="59">
        <f t="shared" si="40"/>
        <v>188.09929616366503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4.75</v>
      </c>
      <c r="CT12" s="12">
        <f>IF('Données projet'!$A$140&gt;35,CT11+CS12-DB11,IF(A12&lt;'Données projet'!$A$140,$CQ$205^A12,IF(A12='Données projet'!$A$140,'Données projet'!$B$140,CT11+CS12-DB11)))</f>
        <v>7.7620354590201153</v>
      </c>
      <c r="CU12" s="17">
        <f>CT12*VLOOKUP('Données projet'!$B$13,Paramètres!$A$1:$I$89,3,0)*VLOOKUP('Données projet'!$B$13,Paramètres!$A$1:$I$89,5,0)</f>
        <v>5.2067733859106937</v>
      </c>
      <c r="CV12" s="13">
        <f t="shared" si="41"/>
        <v>1.980214094096522</v>
      </c>
      <c r="CW12" s="20">
        <f t="shared" si="13"/>
        <v>12.517336527679234</v>
      </c>
      <c r="CX12" s="59">
        <f t="shared" si="14"/>
        <v>305.85066986101253</v>
      </c>
      <c r="CY12" s="59">
        <f ca="1">AVERAGE(OFFSET($CX$3,0,0,'Données projet'!$E$13+1,1))-AVERAGE(OFFSET($H$3,0,0,'Données projet'!$E$13+1,1))</f>
        <v>156.63226020379989</v>
      </c>
      <c r="CZ12" s="59">
        <f t="shared" si="42"/>
        <v>196.0481096619543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16.600000000000001</v>
      </c>
      <c r="DO12" s="12">
        <f>IF('Données projet'!$A$166&gt;35,DO11+DN12-DW11,IF(A12&lt;'Données projet'!$A$166,$DL$205^A12,IF(A12='Données projet'!$A$166,'Données projet'!$B$166,DO11+DN12-DW11)))</f>
        <v>95.4</v>
      </c>
      <c r="DP12" s="17">
        <f>DO12*VLOOKUP('Données projet'!$B$14,Paramètres!$A$1:$I$89,3,0)*VLOOKUP('Données projet'!$B$14,Paramètres!$A$1:$I$89,5,0)</f>
        <v>86.317920000000001</v>
      </c>
      <c r="DQ12" s="13">
        <f t="shared" si="43"/>
        <v>23.675048588166593</v>
      </c>
      <c r="DR12" s="20">
        <f t="shared" si="16"/>
        <v>191.57108695772345</v>
      </c>
      <c r="DS12" s="59">
        <f t="shared" si="17"/>
        <v>484.90442029105679</v>
      </c>
      <c r="DT12" s="59">
        <f ca="1">AVERAGE(OFFSET($DS$3,0,0,'Données projet'!$E$14+1,1))-AVERAGE(OFFSET($H$3,0,0,'Données projet'!$E$14+1,1))</f>
        <v>225.28075317732998</v>
      </c>
      <c r="DU12" s="59">
        <f t="shared" si="44"/>
        <v>358.43407531256207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0.86941306168481469</v>
      </c>
      <c r="EC12" s="21">
        <f>EXP(-LN(2)/2)*EC11+(1-EXP(-LN(2)/2))/(LN(2)/2)*DW12*DZ12*VLOOKUP('Données projet'!$B$14,Paramètres!$A$1:$I$89,3,0)*0.475*44/12</f>
        <v>0.69363381127215129</v>
      </c>
      <c r="ED12" s="22">
        <f t="shared" si="18"/>
        <v>1.563046872956966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1.2</v>
      </c>
      <c r="EJ12" s="12">
        <f>IF('Données projet'!$A$192&gt;35,EJ11+EI12-ER11,IF(A12&lt;'Données projet'!$A$192,$EG$205^A12,IF(A12='Données projet'!$A$192,'Données projet'!$B$192,EJ11+EI12-ER11)))</f>
        <v>9.3597257028516339</v>
      </c>
      <c r="EK12" s="17">
        <f>EJ12*VLOOKUP('Données projet'!$B$15,Paramètres!$A$1:$I$89,3,0)*VLOOKUP('Données projet'!$B$15,Paramètres!$A$1:$I$89,5,0)</f>
        <v>5.2320866678940634</v>
      </c>
      <c r="EL12" s="13">
        <f t="shared" si="45"/>
        <v>1.9887181275113242</v>
      </c>
      <c r="EM12" s="20">
        <f t="shared" si="19"/>
        <v>12.576235018664383</v>
      </c>
      <c r="EN12" s="59">
        <f t="shared" si="20"/>
        <v>305.90956835199768</v>
      </c>
      <c r="EO12" s="59">
        <f ca="1">AVERAGE(OFFSET($EN$3,0,0,'Données projet'!$E$15+1,1))-AVERAGE(OFFSET($H$3,0,0,'Données projet'!$E$15+1,1))</f>
        <v>326.31232746914907</v>
      </c>
      <c r="EP12" s="59">
        <f t="shared" si="46"/>
        <v>330.17137761430297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7.9</v>
      </c>
      <c r="FE12" s="12">
        <f>IF('Données projet'!$A$218&gt;35,FE11+FD12-FM11,IF(A12&lt;'Données projet'!$A$218,$FB$205^A12,IF(A12='Données projet'!$A$218,'Données projet'!$B$218,FE11+FD12-FM11)))</f>
        <v>9.7587836327093171</v>
      </c>
      <c r="FF12" s="17">
        <f>FE12*VLOOKUP('Données projet'!$B$16,Paramètres!$A$1:$I$89,3,0)*VLOOKUP('Données projet'!$B$16,Paramètres!$A$1:$I$89,5,0)</f>
        <v>6.0894809868106137</v>
      </c>
      <c r="FG12" s="13">
        <f t="shared" si="47"/>
        <v>2.2740876477580638</v>
      </c>
      <c r="FH12" s="20">
        <f t="shared" si="22"/>
        <v>14.566548705207111</v>
      </c>
      <c r="FI12" s="59">
        <f t="shared" si="23"/>
        <v>307.89988203854045</v>
      </c>
      <c r="FJ12" s="59">
        <f ca="1">AVERAGE(OFFSET($FI$3,0,0,'Données projet'!$E$16+1,1))-AVERAGE(OFFSET($H$3,0,0,'Données projet'!$E$16+1,1))</f>
        <v>255.41017495879987</v>
      </c>
      <c r="FK12" s="59">
        <f t="shared" si="48"/>
        <v>297.50513563712764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6.1</v>
      </c>
      <c r="FZ12" s="12">
        <f>IF('Données projet'!$A$244&gt;35,FZ11+FY12-GH11,IF(A12&lt;'Données projet'!$A$244,$FW$205^A12,IF(A12='Données projet'!$A$244,'Données projet'!$B$244,FZ11+FY12-GH11)))</f>
        <v>8.6868420270572955</v>
      </c>
      <c r="GA12" s="17">
        <f>FZ12*VLOOKUP('Données projet'!$B$17,Paramètres!$A$1:$I$89,3,0)*VLOOKUP('Données projet'!$B$17,Paramètres!$A$1:$I$89,5,0)</f>
        <v>5.1947315321802625</v>
      </c>
      <c r="GB12" s="13">
        <f t="shared" si="49"/>
        <v>1.9761669279971803</v>
      </c>
      <c r="GC12" s="20">
        <f t="shared" si="25"/>
        <v>12.489314818142381</v>
      </c>
      <c r="GD12" s="59">
        <f t="shared" si="26"/>
        <v>305.82264815147568</v>
      </c>
      <c r="GE12" s="59">
        <f ca="1">AVERAGE(OFFSET($GD$3,0,0,'Données projet'!$E$17+1,1))-AVERAGE(OFFSET($H$3,0,0,'Données projet'!$E$17+1,1))</f>
        <v>259.30247982593914</v>
      </c>
      <c r="GF12" s="59">
        <f t="shared" si="50"/>
        <v>275.24740346220779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4.75</v>
      </c>
      <c r="GU12" s="12">
        <f>IF('Données projet'!$A$270&gt;35,GU11+GT12-HC11,IF(A12&lt;'Données projet'!$A$270,$GR$205^A12,IF(A12='Données projet'!$A$270,'Données projet'!$B$270,GU11+GT12-HC11)))</f>
        <v>7.7620354590201153</v>
      </c>
      <c r="GV12" s="17">
        <f>GU12*VLOOKUP('Données projet'!$B$18,Paramètres!$A$1:$I$89,3,0)*VLOOKUP('Données projet'!$B$18,Paramètres!$A$1:$I$89,5,0)</f>
        <v>6.1754754111964036</v>
      </c>
      <c r="GW12" s="13">
        <f t="shared" si="51"/>
        <v>2.3024405614847958</v>
      </c>
      <c r="GX12" s="20">
        <f t="shared" si="28"/>
        <v>14.765703652419754</v>
      </c>
      <c r="GY12" s="59">
        <f t="shared" si="29"/>
        <v>308.09903698575306</v>
      </c>
      <c r="GZ12" s="59">
        <f ca="1">AVERAGE(OFFSET($GY$3,0,0,'Données projet'!$E$18+1,1))-AVERAGE(OFFSET($H$3,0,0,'Données projet'!$E$18+1,1))</f>
        <v>199.58763537752952</v>
      </c>
      <c r="HA12" s="59">
        <f t="shared" si="52"/>
        <v>242.62852778451929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307.37677663358653</v>
      </c>
      <c r="S13" s="59">
        <f ca="1">AVERAGE(OFFSET($R$3,0,0,'Données projet'!$E$9+1,1))-AVERAGE(OFFSET($H$3,0,0,'Données projet'!$E$9+1,1))</f>
        <v>237.22177246688199</v>
      </c>
      <c r="T13" s="59">
        <f t="shared" si="34"/>
        <v>149.27472147904302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6.5714710681855761</v>
      </c>
      <c r="AK13" s="13">
        <f t="shared" si="35"/>
        <v>2.4324209676242781</v>
      </c>
      <c r="AL13" s="20">
        <f t="shared" si="4"/>
        <v>15.681778629035497</v>
      </c>
      <c r="AM13" s="59">
        <f t="shared" si="5"/>
        <v>309.01511196236879</v>
      </c>
      <c r="AN13" s="59">
        <f ca="1">AVERAGE(OFFSET($AM$3,0,0,'Données projet'!$E$10+1,1))-AVERAGE(OFFSET($H$3,0,0,'Données projet'!$E$10+1,1))</f>
        <v>279.20364724206644</v>
      </c>
      <c r="AO13" s="59">
        <f t="shared" si="36"/>
        <v>173.99850582760712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7.9</v>
      </c>
      <c r="BD13" s="12">
        <f>IF('Données projet'!$A$88&gt;35,BD12+BC13-BL12,IF(A13&lt;'Données projet'!$A$88,$BA$205^A13,IF(A13='Données projet'!$A$88,'Données projet'!$B$88,BD12+BC13-BL12)))</f>
        <v>12.569805089976542</v>
      </c>
      <c r="BE13" s="13">
        <f>BD13*VLOOKUP('Données projet'!$B$11,Paramètres!$A$1:$I$89,3,0)*VLOOKUP('Données projet'!$B$11,Paramètres!$A$1:$I$89,5,0)</f>
        <v>5.8826687821090227</v>
      </c>
      <c r="BF13" s="13">
        <f t="shared" si="37"/>
        <v>2.2057079152108381</v>
      </c>
      <c r="BG13" s="20">
        <f t="shared" si="7"/>
        <v>14.087256081165423</v>
      </c>
      <c r="BH13" s="59">
        <f t="shared" si="8"/>
        <v>307.42058941449875</v>
      </c>
      <c r="BI13" s="59">
        <f ca="1">AVERAGE(OFFSET($BH$3,0,0,'Données projet'!$E$11+1,1))-AVERAGE(OFFSET($H$3,0,0,'Données projet'!$E$11+1,1))</f>
        <v>215.23235148064941</v>
      </c>
      <c r="BJ13" s="59">
        <f t="shared" si="38"/>
        <v>184.07239726900434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</v>
      </c>
      <c r="BY13" s="12">
        <f>IF('Données projet'!$A$114&gt;35,BY12+BX13-CG12,IF(A13&lt;'Données projet'!$A$114,$BV$205^A13,IF(A13='Données projet'!$A$114,'Données projet'!$B$114,BY12+BX13-CG12)))</f>
        <v>6.4807406984078657</v>
      </c>
      <c r="BZ13" s="13">
        <f>BY13*VLOOKUP('Données projet'!$B$12,Paramètres!$A$1:$I$89,3,0)*VLOOKUP('Données projet'!$B$12,Paramètres!$A$1:$I$89,5,0)</f>
        <v>6.9758692877662263</v>
      </c>
      <c r="CA13" s="13">
        <f t="shared" si="39"/>
        <v>2.5642215932468222</v>
      </c>
      <c r="CB13" s="20">
        <f t="shared" si="10"/>
        <v>16.61565828443106</v>
      </c>
      <c r="CC13" s="59">
        <f t="shared" si="11"/>
        <v>309.94899161776436</v>
      </c>
      <c r="CD13" s="59">
        <f ca="1">AVERAGE(OFFSET($CC$3,0,0,'Données projet'!$E$12+1,1))-AVERAGE(OFFSET($H$3,0,0,'Données projet'!$E$12+1,1))</f>
        <v>303.1504619632214</v>
      </c>
      <c r="CE13" s="59">
        <f t="shared" si="40"/>
        <v>188.09929616366503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4.75</v>
      </c>
      <c r="CT13" s="12">
        <f>IF('Données projet'!$A$140&gt;35,CT12+CS13-DB12,IF(A13&lt;'Données projet'!$A$140,$CQ$205^A13,IF(A13='Données projet'!$A$140,'Données projet'!$B$140,CT12+CS13-DB12)))</f>
        <v>9.7467943448089507</v>
      </c>
      <c r="CU13" s="17">
        <f>CT13*VLOOKUP('Données projet'!$B$13,Paramètres!$A$1:$I$89,3,0)*VLOOKUP('Données projet'!$B$13,Paramètres!$A$1:$I$89,5,0)</f>
        <v>6.5381496464978444</v>
      </c>
      <c r="CV13" s="13">
        <f t="shared" si="41"/>
        <v>2.4215195304505239</v>
      </c>
      <c r="CW13" s="20">
        <f t="shared" si="13"/>
        <v>15.604757149851741</v>
      </c>
      <c r="CX13" s="59">
        <f t="shared" si="14"/>
        <v>308.93809048318508</v>
      </c>
      <c r="CY13" s="59">
        <f ca="1">AVERAGE(OFFSET($CX$3,0,0,'Données projet'!$E$13+1,1))-AVERAGE(OFFSET($H$3,0,0,'Données projet'!$E$13+1,1))</f>
        <v>156.63226020379989</v>
      </c>
      <c r="CZ13" s="59">
        <f t="shared" si="42"/>
        <v>196.0481096619543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>
        <f>VLOOKUP(A13,'Données projet'!$A$165:$I$185,2,0)</f>
        <v>112</v>
      </c>
      <c r="DM13" s="12">
        <f>VLOOKUP(A13,'Données projet'!$A$165:$I$185,9,0)</f>
        <v>16.600000000000001</v>
      </c>
      <c r="DN13" s="12">
        <f t="array" ref="DN13">INDEX(DM:DM,MIN(IF(ISNUMBER(DM13:DM209),ROW(DM13:DM209),"")))</f>
        <v>16.600000000000001</v>
      </c>
      <c r="DO13" s="12">
        <f>IF('Données projet'!$A$166&gt;35,DO12+DN13-DW12,IF(A13&lt;'Données projet'!$A$166,$DL$205^A13,IF(A13='Données projet'!$A$166,'Données projet'!$B$166,DO12+DN13-DW12)))</f>
        <v>112</v>
      </c>
      <c r="DP13" s="17">
        <f>DO13*VLOOKUP('Données projet'!$B$14,Paramètres!$A$1:$I$89,3,0)*VLOOKUP('Données projet'!$B$14,Paramètres!$A$1:$I$89,5,0)</f>
        <v>101.33759999999999</v>
      </c>
      <c r="DQ13" s="13">
        <f t="shared" si="43"/>
        <v>27.280415454305565</v>
      </c>
      <c r="DR13" s="20">
        <f t="shared" si="16"/>
        <v>224.00971024958213</v>
      </c>
      <c r="DS13" s="59">
        <f t="shared" si="17"/>
        <v>517.34304358291547</v>
      </c>
      <c r="DT13" s="59">
        <f ca="1">AVERAGE(OFFSET($DS$3,0,0,'Données projet'!$E$14+1,1))-AVERAGE(OFFSET($H$3,0,0,'Données projet'!$E$14+1,1))</f>
        <v>225.28075317732998</v>
      </c>
      <c r="DU13" s="59">
        <f t="shared" si="44"/>
        <v>358.43407531256207</v>
      </c>
      <c r="DV13" s="15">
        <f>IF(ISNA(VLOOKUP(A13,'Données projet'!$A$165:$I$185,3,0)),0,VLOOKUP(A13,'Données projet'!$A$165:$I$185,3,0))</f>
        <v>2</v>
      </c>
      <c r="DW13" s="15">
        <f>IF(ISNA(VLOOKUP(A13,'Données projet'!$A$165:$I$185,4,0)),0,VLOOKUP(A13,'Données projet'!$A$165:$I$185,4,0))</f>
        <v>41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7.4999999999999997E-2</v>
      </c>
      <c r="DZ13" s="16">
        <f>IF(ISNA(VLOOKUP(A13,'Données projet'!$A$165:$I$185,7,0)),0%,VLOOKUP(A13,'Données projet'!$A$165:$I$185,7,0))</f>
        <v>0.25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3.9092347074225788</v>
      </c>
      <c r="EC13" s="21">
        <f>EXP(-LN(2)/2)*EC12+(1-EXP(-LN(2)/2))/(LN(2)/2)*DW13*DZ13*VLOOKUP('Données projet'!$B$14,Paramètres!$A$1:$I$89,3,0)*0.475*44/12</f>
        <v>9.2409304830440977</v>
      </c>
      <c r="ED13" s="22">
        <f t="shared" si="18"/>
        <v>13.150165190466677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>
        <f>VLOOKUP(A13,'Données projet'!$A$191:$I$211,2,0)</f>
        <v>12</v>
      </c>
      <c r="EH13" s="12">
        <f>VLOOKUP(A13,'Données projet'!$A$191:$I$211,9,0)</f>
        <v>1.2</v>
      </c>
      <c r="EI13" s="12">
        <f t="array" ref="EI13">INDEX(EH:EH,MIN(IF(ISNUMBER(EH13:EH209),ROW(EH13:EH209),"")))</f>
        <v>1.2</v>
      </c>
      <c r="EJ13" s="12">
        <f>IF('Données projet'!$A$192&gt;35,EJ12+EI13-ER12,IF(A13&lt;'Données projet'!$A$192,$EG$205^A13,IF(A13='Données projet'!$A$192,'Données projet'!$B$192,EJ12+EI13-ER12)))</f>
        <v>12</v>
      </c>
      <c r="EK13" s="17">
        <f>EJ13*VLOOKUP('Données projet'!$B$15,Paramètres!$A$1:$I$89,3,0)*VLOOKUP('Données projet'!$B$15,Paramètres!$A$1:$I$89,5,0)</f>
        <v>6.7080000000000002</v>
      </c>
      <c r="EL13" s="13">
        <f t="shared" si="45"/>
        <v>2.477020993200687</v>
      </c>
      <c r="EM13" s="20">
        <f t="shared" si="19"/>
        <v>15.997244896491198</v>
      </c>
      <c r="EN13" s="59">
        <f t="shared" si="20"/>
        <v>309.33057822982454</v>
      </c>
      <c r="EO13" s="59">
        <f ca="1">AVERAGE(OFFSET($EN$3,0,0,'Données projet'!$E$15+1,1))-AVERAGE(OFFSET($H$3,0,0,'Données projet'!$E$15+1,1))</f>
        <v>326.31232746914907</v>
      </c>
      <c r="EP13" s="59">
        <f t="shared" si="46"/>
        <v>330.17137761430297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7.9</v>
      </c>
      <c r="FE13" s="12">
        <f>IF('Données projet'!$A$218&gt;35,FE12+FD13-FM12,IF(A13&lt;'Données projet'!$A$218,$FB$205^A13,IF(A13='Données projet'!$A$218,'Données projet'!$B$218,FE12+FD13-FM12)))</f>
        <v>12.569805089976542</v>
      </c>
      <c r="FF13" s="17">
        <f>FE13*VLOOKUP('Données projet'!$B$16,Paramètres!$A$1:$I$89,3,0)*VLOOKUP('Données projet'!$B$16,Paramètres!$A$1:$I$89,5,0)</f>
        <v>7.8435583761453627</v>
      </c>
      <c r="FG13" s="13">
        <f t="shared" si="47"/>
        <v>2.8440934969928842</v>
      </c>
      <c r="FH13" s="20">
        <f t="shared" si="22"/>
        <v>18.614327012382446</v>
      </c>
      <c r="FI13" s="59">
        <f t="shared" si="23"/>
        <v>311.94766034571575</v>
      </c>
      <c r="FJ13" s="59">
        <f ca="1">AVERAGE(OFFSET($FI$3,0,0,'Données projet'!$E$16+1,1))-AVERAGE(OFFSET($H$3,0,0,'Données projet'!$E$16+1,1))</f>
        <v>255.41017495879987</v>
      </c>
      <c r="FK13" s="59">
        <f t="shared" si="48"/>
        <v>297.50513563712764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6.1</v>
      </c>
      <c r="FZ13" s="12">
        <f>IF('Données projet'!$A$244&gt;35,FZ12+FY13-GH12,IF(A13&lt;'Données projet'!$A$244,$FW$205^A13,IF(A13='Données projet'!$A$244,'Données projet'!$B$244,FZ12+FY13-GH12)))</f>
        <v>11.045361017187268</v>
      </c>
      <c r="GA13" s="17">
        <f>FZ13*VLOOKUP('Données projet'!$B$17,Paramètres!$A$1:$I$89,3,0)*VLOOKUP('Données projet'!$B$17,Paramètres!$A$1:$I$89,5,0)</f>
        <v>6.6051258882779864</v>
      </c>
      <c r="GB13" s="13">
        <f t="shared" si="49"/>
        <v>2.4434249503139451</v>
      </c>
      <c r="GC13" s="20">
        <f t="shared" si="25"/>
        <v>15.759559377214282</v>
      </c>
      <c r="GD13" s="59">
        <f t="shared" si="26"/>
        <v>309.09289271054757</v>
      </c>
      <c r="GE13" s="59">
        <f ca="1">AVERAGE(OFFSET($GD$3,0,0,'Données projet'!$E$17+1,1))-AVERAGE(OFFSET($H$3,0,0,'Données projet'!$E$17+1,1))</f>
        <v>259.30247982593914</v>
      </c>
      <c r="GF13" s="59">
        <f t="shared" si="50"/>
        <v>275.24740346220779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4.75</v>
      </c>
      <c r="GU13" s="12">
        <f>IF('Données projet'!$A$270&gt;35,GU12+GT13-HC12,IF(A13&lt;'Données projet'!$A$270,$GR$205^A13,IF(A13='Données projet'!$A$270,'Données projet'!$B$270,GU12+GT13-HC12)))</f>
        <v>9.7467943448089507</v>
      </c>
      <c r="GV13" s="17">
        <f>GU13*VLOOKUP('Données projet'!$B$18,Paramètres!$A$1:$I$89,3,0)*VLOOKUP('Données projet'!$B$18,Paramètres!$A$1:$I$89,5,0)</f>
        <v>7.7545495807300009</v>
      </c>
      <c r="GW13" s="13">
        <f t="shared" si="51"/>
        <v>2.815556562271968</v>
      </c>
      <c r="GX13" s="20">
        <f t="shared" si="28"/>
        <v>18.409601532395097</v>
      </c>
      <c r="GY13" s="59">
        <f t="shared" si="29"/>
        <v>311.74293486572839</v>
      </c>
      <c r="GZ13" s="59">
        <f ca="1">AVERAGE(OFFSET($GY$3,0,0,'Données projet'!$E$18+1,1))-AVERAGE(OFFSET($H$3,0,0,'Données projet'!$E$18+1,1))</f>
        <v>199.58763537752952</v>
      </c>
      <c r="HA13" s="59">
        <f t="shared" si="52"/>
        <v>242.62852778451929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310.1631503249921</v>
      </c>
      <c r="S14" s="59">
        <f ca="1">AVERAGE(OFFSET($R$3,0,0,'Données projet'!$E$9+1,1))-AVERAGE(OFFSET($H$3,0,0,'Données projet'!$E$9+1,1))</f>
        <v>237.22177246688199</v>
      </c>
      <c r="T14" s="59">
        <f t="shared" si="34"/>
        <v>149.27472147904302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7.921821725516951</v>
      </c>
      <c r="AK14" s="13">
        <f t="shared" si="35"/>
        <v>2.869154216054651</v>
      </c>
      <c r="AL14" s="20">
        <f t="shared" si="4"/>
        <v>18.794283098237205</v>
      </c>
      <c r="AM14" s="59">
        <f t="shared" si="5"/>
        <v>312.12761643157052</v>
      </c>
      <c r="AN14" s="59">
        <f ca="1">AVERAGE(OFFSET($AM$3,0,0,'Données projet'!$E$10+1,1))-AVERAGE(OFFSET($H$3,0,0,'Données projet'!$E$10+1,1))</f>
        <v>279.20364724206644</v>
      </c>
      <c r="AO14" s="59">
        <f t="shared" si="36"/>
        <v>173.99850582760712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7.9</v>
      </c>
      <c r="BD14" s="12">
        <f>IF('Données projet'!$A$88&gt;35,BD13+BC14-BL13,IF(A14&lt;'Données projet'!$A$88,$BA$205^A14,IF(A14='Données projet'!$A$88,'Données projet'!$B$88,BD13+BC14-BL13)))</f>
        <v>16.190542381779895</v>
      </c>
      <c r="BE14" s="13">
        <f>BD14*VLOOKUP('Données projet'!$B$11,Paramètres!$A$1:$I$89,3,0)*VLOOKUP('Données projet'!$B$11,Paramètres!$A$1:$I$89,5,0)</f>
        <v>7.5771738346729904</v>
      </c>
      <c r="BF14" s="13">
        <f t="shared" si="37"/>
        <v>2.7585742106736397</v>
      </c>
      <c r="BG14" s="20">
        <f t="shared" si="7"/>
        <v>18.001427845645381</v>
      </c>
      <c r="BH14" s="59">
        <f t="shared" si="8"/>
        <v>311.33476117897868</v>
      </c>
      <c r="BI14" s="59">
        <f ca="1">AVERAGE(OFFSET($BH$3,0,0,'Données projet'!$E$11+1,1))-AVERAGE(OFFSET($H$3,0,0,'Données projet'!$E$11+1,1))</f>
        <v>215.23235148064941</v>
      </c>
      <c r="BJ14" s="59">
        <f t="shared" si="38"/>
        <v>184.07239726900434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</v>
      </c>
      <c r="BY14" s="12">
        <f>IF('Données projet'!$A$114&gt;35,BY13+BX14-CG13,IF(A14&lt;'Données projet'!$A$114,$BV$205^A14,IF(A14='Données projet'!$A$114,'Données projet'!$B$114,BY13+BX14-CG13)))</f>
        <v>7.8124474610620815</v>
      </c>
      <c r="BZ14" s="13">
        <f>BY14*VLOOKUP('Données projet'!$B$12,Paramètres!$A$1:$I$89,3,0)*VLOOKUP('Données projet'!$B$12,Paramètres!$A$1:$I$89,5,0)</f>
        <v>8.4093184470872249</v>
      </c>
      <c r="CA14" s="13">
        <f t="shared" si="39"/>
        <v>3.0246192139792929</v>
      </c>
      <c r="CB14" s="20">
        <f t="shared" si="10"/>
        <v>19.914108093024186</v>
      </c>
      <c r="CC14" s="59">
        <f t="shared" si="11"/>
        <v>313.24744142635751</v>
      </c>
      <c r="CD14" s="59">
        <f ca="1">AVERAGE(OFFSET($CC$3,0,0,'Données projet'!$E$12+1,1))-AVERAGE(OFFSET($H$3,0,0,'Données projet'!$E$12+1,1))</f>
        <v>303.1504619632214</v>
      </c>
      <c r="CE14" s="59">
        <f t="shared" si="40"/>
        <v>188.09929616366503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4.75</v>
      </c>
      <c r="CT14" s="12">
        <f>IF('Données projet'!$A$140&gt;35,CT13+CS14-DB13,IF(A14&lt;'Données projet'!$A$140,$CQ$205^A14,IF(A14='Données projet'!$A$140,'Données projet'!$B$140,CT13+CS14-DB13)))</f>
        <v>12.239057719016479</v>
      </c>
      <c r="CU14" s="17">
        <f>CT14*VLOOKUP('Données projet'!$B$13,Paramètres!$A$1:$I$89,3,0)*VLOOKUP('Données projet'!$B$13,Paramètres!$A$1:$I$89,5,0)</f>
        <v>8.2099599179162546</v>
      </c>
      <c r="CV14" s="13">
        <f t="shared" si="41"/>
        <v>2.9611731649797601</v>
      </c>
      <c r="CW14" s="20">
        <f t="shared" si="13"/>
        <v>19.456390119377222</v>
      </c>
      <c r="CX14" s="59">
        <f t="shared" si="14"/>
        <v>312.78972345271052</v>
      </c>
      <c r="CY14" s="59">
        <f ca="1">AVERAGE(OFFSET($CX$3,0,0,'Données projet'!$E$13+1,1))-AVERAGE(OFFSET($H$3,0,0,'Données projet'!$E$13+1,1))</f>
        <v>156.63226020379989</v>
      </c>
      <c r="CZ14" s="59">
        <f t="shared" si="42"/>
        <v>196.0481096619543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14.2</v>
      </c>
      <c r="DO14" s="12">
        <f>IF('Données projet'!$A$166&gt;35,DO13+DN14-DW13,IF(A14&lt;'Données projet'!$A$166,$DL$205^A14,IF(A14='Données projet'!$A$166,'Données projet'!$B$166,DO13+DN14-DW13)))</f>
        <v>85.2</v>
      </c>
      <c r="DP14" s="17">
        <f>DO14*VLOOKUP('Données projet'!$B$14,Paramètres!$A$1:$I$89,3,0)*VLOOKUP('Données projet'!$B$14,Paramètres!$A$1:$I$89,5,0)</f>
        <v>77.08896</v>
      </c>
      <c r="DQ14" s="13">
        <f t="shared" si="43"/>
        <v>21.423891539868706</v>
      </c>
      <c r="DR14" s="20">
        <f t="shared" si="16"/>
        <v>171.57654976527132</v>
      </c>
      <c r="DS14" s="59">
        <f t="shared" si="17"/>
        <v>464.90988309860461</v>
      </c>
      <c r="DT14" s="59">
        <f ca="1">AVERAGE(OFFSET($DS$3,0,0,'Données projet'!$E$14+1,1))-AVERAGE(OFFSET($H$3,0,0,'Données projet'!$E$14+1,1))</f>
        <v>225.28075317732998</v>
      </c>
      <c r="DU14" s="59">
        <f t="shared" si="44"/>
        <v>358.43407531256207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3.8023364787703899</v>
      </c>
      <c r="EC14" s="21">
        <f>EXP(-LN(2)/2)*EC13+(1-EXP(-LN(2)/2))/(LN(2)/2)*DW14*DZ14*VLOOKUP('Données projet'!$B$14,Paramètres!$A$1:$I$89,3,0)*0.475*44/12</f>
        <v>6.53432460903396</v>
      </c>
      <c r="ED14" s="22">
        <f t="shared" si="18"/>
        <v>10.33666108780435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15</v>
      </c>
      <c r="EJ14" s="12">
        <f>IF('Données projet'!$A$192&gt;35,EJ13+EI14-ER13,IF(A14&lt;'Données projet'!$A$192,$EG$205^A14,IF(A14='Données projet'!$A$192,'Données projet'!$B$192,EJ13+EI14-ER13)))</f>
        <v>27</v>
      </c>
      <c r="EK14" s="17">
        <f>EJ14*VLOOKUP('Données projet'!$B$15,Paramètres!$A$1:$I$89,3,0)*VLOOKUP('Données projet'!$B$15,Paramètres!$A$1:$I$89,5,0)</f>
        <v>15.093</v>
      </c>
      <c r="EL14" s="13">
        <f t="shared" si="45"/>
        <v>5.0712866613861207</v>
      </c>
      <c r="EM14" s="20">
        <f t="shared" si="19"/>
        <v>35.11946593524749</v>
      </c>
      <c r="EN14" s="59">
        <f t="shared" si="20"/>
        <v>328.4527992685808</v>
      </c>
      <c r="EO14" s="59">
        <f ca="1">AVERAGE(OFFSET($EN$3,0,0,'Données projet'!$E$15+1,1))-AVERAGE(OFFSET($H$3,0,0,'Données projet'!$E$15+1,1))</f>
        <v>326.31232746914907</v>
      </c>
      <c r="EP14" s="59">
        <f t="shared" si="46"/>
        <v>330.17137761430297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7.9</v>
      </c>
      <c r="FE14" s="12">
        <f>IF('Données projet'!$A$218&gt;35,FE13+FD14-FM13,IF(A14&lt;'Données projet'!$A$218,$FB$205^A14,IF(A14='Données projet'!$A$218,'Données projet'!$B$218,FE13+FD14-FM13)))</f>
        <v>16.190542381779895</v>
      </c>
      <c r="FF14" s="17">
        <f>FE14*VLOOKUP('Données projet'!$B$16,Paramètres!$A$1:$I$89,3,0)*VLOOKUP('Données projet'!$B$16,Paramètres!$A$1:$I$89,5,0)</f>
        <v>10.102898446230656</v>
      </c>
      <c r="FG14" s="13">
        <f t="shared" si="47"/>
        <v>3.5569727611913824</v>
      </c>
      <c r="FH14" s="20">
        <f t="shared" si="22"/>
        <v>23.790942352926717</v>
      </c>
      <c r="FI14" s="59">
        <f t="shared" si="23"/>
        <v>317.12427568626003</v>
      </c>
      <c r="FJ14" s="59">
        <f ca="1">AVERAGE(OFFSET($FI$3,0,0,'Données projet'!$E$16+1,1))-AVERAGE(OFFSET($H$3,0,0,'Données projet'!$E$16+1,1))</f>
        <v>255.41017495879987</v>
      </c>
      <c r="FK14" s="59">
        <f t="shared" si="48"/>
        <v>297.50513563712764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6.1</v>
      </c>
      <c r="FZ14" s="12">
        <f>IF('Données projet'!$A$244&gt;35,FZ13+FY14-GH13,IF(A14&lt;'Données projet'!$A$244,$FW$205^A14,IF(A14='Données projet'!$A$244,'Données projet'!$B$244,FZ13+FY14-GH13)))</f>
        <v>14.044229147945975</v>
      </c>
      <c r="GA14" s="17">
        <f>FZ14*VLOOKUP('Données projet'!$B$17,Paramètres!$A$1:$I$89,3,0)*VLOOKUP('Données projet'!$B$17,Paramètres!$A$1:$I$89,5,0)</f>
        <v>8.3984490304716939</v>
      </c>
      <c r="GB14" s="13">
        <f t="shared" si="49"/>
        <v>3.0211645601556314</v>
      </c>
      <c r="GC14" s="20">
        <f t="shared" si="25"/>
        <v>19.889160337009255</v>
      </c>
      <c r="GD14" s="59">
        <f t="shared" si="26"/>
        <v>313.22249367034254</v>
      </c>
      <c r="GE14" s="59">
        <f ca="1">AVERAGE(OFFSET($GD$3,0,0,'Données projet'!$E$17+1,1))-AVERAGE(OFFSET($H$3,0,0,'Données projet'!$E$17+1,1))</f>
        <v>259.30247982593914</v>
      </c>
      <c r="GF14" s="59">
        <f t="shared" si="50"/>
        <v>275.24740346220779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4.75</v>
      </c>
      <c r="GU14" s="12">
        <f>IF('Données projet'!$A$270&gt;35,GU13+GT14-HC13,IF(A14&lt;'Données projet'!$A$270,$GR$205^A14,IF(A14='Données projet'!$A$270,'Données projet'!$B$270,GU13+GT14-HC13)))</f>
        <v>12.239057719016479</v>
      </c>
      <c r="GV14" s="17">
        <f>GU14*VLOOKUP('Données projet'!$B$18,Paramètres!$A$1:$I$89,3,0)*VLOOKUP('Données projet'!$B$18,Paramètres!$A$1:$I$89,5,0)</f>
        <v>9.7373943212495124</v>
      </c>
      <c r="GW14" s="13">
        <f t="shared" si="51"/>
        <v>3.4430242795238799</v>
      </c>
      <c r="GX14" s="20">
        <f t="shared" si="28"/>
        <v>22.955895729680325</v>
      </c>
      <c r="GY14" s="59">
        <f t="shared" si="29"/>
        <v>316.28922906301364</v>
      </c>
      <c r="GZ14" s="59">
        <f ca="1">AVERAGE(OFFSET($GY$3,0,0,'Données projet'!$E$18+1,1))-AVERAGE(OFFSET($H$3,0,0,'Données projet'!$E$18+1,1))</f>
        <v>199.58763537752952</v>
      </c>
      <c r="HA14" s="59">
        <f t="shared" si="52"/>
        <v>242.62852778451929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313.50424573777804</v>
      </c>
      <c r="S15" s="59">
        <f ca="1">AVERAGE(OFFSET($R$3,0,0,'Données projet'!$E$9+1,1))-AVERAGE(OFFSET($H$3,0,0,'Données projet'!$E$9+1,1))</f>
        <v>237.22177246688199</v>
      </c>
      <c r="T15" s="59">
        <f t="shared" si="34"/>
        <v>149.27472147904302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9.5496516380767513</v>
      </c>
      <c r="AK15" s="13">
        <f t="shared" si="35"/>
        <v>3.3843014943027487</v>
      </c>
      <c r="AL15" s="20">
        <f t="shared" si="4"/>
        <v>22.526635038894295</v>
      </c>
      <c r="AM15" s="59">
        <f t="shared" si="5"/>
        <v>315.85996837222763</v>
      </c>
      <c r="AN15" s="59">
        <f ca="1">AVERAGE(OFFSET($AM$3,0,0,'Données projet'!$E$10+1,1))-AVERAGE(OFFSET($H$3,0,0,'Données projet'!$E$10+1,1))</f>
        <v>279.20364724206644</v>
      </c>
      <c r="AO15" s="59">
        <f t="shared" si="36"/>
        <v>173.99850582760712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7.9</v>
      </c>
      <c r="BD15" s="12">
        <f>IF('Données projet'!$A$88&gt;35,BD14+BC15-BL14,IF(A15&lt;'Données projet'!$A$88,$BA$205^A15,IF(A15='Données projet'!$A$88,'Données projet'!$B$88,BD14+BC15-BL14)))</f>
        <v>20.854234472198982</v>
      </c>
      <c r="BE15" s="13">
        <f>BD15*VLOOKUP('Données projet'!$B$11,Paramètres!$A$1:$I$89,3,0)*VLOOKUP('Données projet'!$B$11,Paramètres!$A$1:$I$89,5,0)</f>
        <v>9.7597817329891239</v>
      </c>
      <c r="BF15" s="13">
        <f t="shared" si="37"/>
        <v>3.4500178483814818</v>
      </c>
      <c r="BG15" s="20">
        <f t="shared" si="7"/>
        <v>23.00706760422047</v>
      </c>
      <c r="BH15" s="59">
        <f t="shared" si="8"/>
        <v>316.3404009375538</v>
      </c>
      <c r="BI15" s="59">
        <f ca="1">AVERAGE(OFFSET($BH$3,0,0,'Données projet'!$E$11+1,1))-AVERAGE(OFFSET($H$3,0,0,'Données projet'!$E$11+1,1))</f>
        <v>215.23235148064941</v>
      </c>
      <c r="BJ15" s="59">
        <f t="shared" si="38"/>
        <v>184.07239726900434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</v>
      </c>
      <c r="BY15" s="12">
        <f>IF('Données projet'!$A$114&gt;35,BY14+BX15-CG14,IF(A15&lt;'Données projet'!$A$114,$BV$205^A15,IF(A15='Données projet'!$A$114,'Données projet'!$B$114,BY14+BX15-CG14)))</f>
        <v>9.4178024044149407</v>
      </c>
      <c r="BZ15" s="13">
        <f>BY15*VLOOKUP('Données projet'!$B$12,Paramètres!$A$1:$I$89,3,0)*VLOOKUP('Données projet'!$B$12,Paramètres!$A$1:$I$89,5,0)</f>
        <v>10.137322508112241</v>
      </c>
      <c r="CA15" s="13">
        <f t="shared" si="39"/>
        <v>3.5676797253661268</v>
      </c>
      <c r="CB15" s="20">
        <f t="shared" si="10"/>
        <v>23.869545556641487</v>
      </c>
      <c r="CC15" s="59">
        <f t="shared" si="11"/>
        <v>317.20287888997478</v>
      </c>
      <c r="CD15" s="59">
        <f ca="1">AVERAGE(OFFSET($CC$3,0,0,'Données projet'!$E$12+1,1))-AVERAGE(OFFSET($H$3,0,0,'Données projet'!$E$12+1,1))</f>
        <v>303.1504619632214</v>
      </c>
      <c r="CE15" s="59">
        <f t="shared" si="40"/>
        <v>188.09929616366503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4.75</v>
      </c>
      <c r="CT15" s="12">
        <f>IF('Données projet'!$A$140&gt;35,CT14+CS15-DB14,IF(A15&lt;'Données projet'!$A$140,$CQ$205^A15,IF(A15='Données projet'!$A$140,'Données projet'!$B$140,CT14+CS15-DB14)))</f>
        <v>15.368594899018873</v>
      </c>
      <c r="CU15" s="17">
        <f>CT15*VLOOKUP('Données projet'!$B$13,Paramètres!$A$1:$I$89,3,0)*VLOOKUP('Données projet'!$B$13,Paramètres!$A$1:$I$89,5,0)</f>
        <v>10.30925345826186</v>
      </c>
      <c r="CV15" s="13">
        <f t="shared" si="41"/>
        <v>3.6210926249952076</v>
      </c>
      <c r="CW15" s="20">
        <f t="shared" si="13"/>
        <v>24.262019428339389</v>
      </c>
      <c r="CX15" s="59">
        <f t="shared" si="14"/>
        <v>317.5953527616727</v>
      </c>
      <c r="CY15" s="59">
        <f ca="1">AVERAGE(OFFSET($CX$3,0,0,'Données projet'!$E$13+1,1))-AVERAGE(OFFSET($H$3,0,0,'Données projet'!$E$13+1,1))</f>
        <v>156.63226020379989</v>
      </c>
      <c r="CZ15" s="59">
        <f t="shared" si="42"/>
        <v>196.0481096619543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14.2</v>
      </c>
      <c r="DO15" s="12">
        <f>IF('Données projet'!$A$166&gt;35,DO14+DN15-DW14,IF(A15&lt;'Données projet'!$A$166,$DL$205^A15,IF(A15='Données projet'!$A$166,'Données projet'!$B$166,DO14+DN15-DW14)))</f>
        <v>99.4</v>
      </c>
      <c r="DP15" s="17">
        <f>DO15*VLOOKUP('Données projet'!$B$14,Paramètres!$A$1:$I$89,3,0)*VLOOKUP('Données projet'!$B$14,Paramètres!$A$1:$I$89,5,0)</f>
        <v>89.937120000000007</v>
      </c>
      <c r="DQ15" s="13">
        <f t="shared" si="43"/>
        <v>24.550059235245158</v>
      </c>
      <c r="DR15" s="20">
        <f t="shared" si="16"/>
        <v>199.39850383471867</v>
      </c>
      <c r="DS15" s="59">
        <f t="shared" si="17"/>
        <v>492.73183716805198</v>
      </c>
      <c r="DT15" s="59">
        <f ca="1">AVERAGE(OFFSET($DS$3,0,0,'Données projet'!$E$14+1,1))-AVERAGE(OFFSET($H$3,0,0,'Données projet'!$E$14+1,1))</f>
        <v>225.28075317732998</v>
      </c>
      <c r="DU15" s="59">
        <f t="shared" si="44"/>
        <v>358.43407531256207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3.6983613878022288</v>
      </c>
      <c r="EC15" s="21">
        <f>EXP(-LN(2)/2)*EC14+(1-EXP(-LN(2)/2))/(LN(2)/2)*DW15*DZ15*VLOOKUP('Données projet'!$B$14,Paramètres!$A$1:$I$89,3,0)*0.475*44/12</f>
        <v>4.6204652415220497</v>
      </c>
      <c r="ED15" s="22">
        <f t="shared" si="18"/>
        <v>8.3188266293242776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15</v>
      </c>
      <c r="EJ15" s="12">
        <f>IF('Données projet'!$A$192&gt;35,EJ14+EI15-ER14,IF(A15&lt;'Données projet'!$A$192,$EG$205^A15,IF(A15='Données projet'!$A$192,'Données projet'!$B$192,EJ14+EI15-ER14)))</f>
        <v>42</v>
      </c>
      <c r="EK15" s="17">
        <f>EJ15*VLOOKUP('Données projet'!$B$15,Paramètres!$A$1:$I$89,3,0)*VLOOKUP('Données projet'!$B$15,Paramètres!$A$1:$I$89,5,0)</f>
        <v>23.477999999999998</v>
      </c>
      <c r="EL15" s="13">
        <f t="shared" si="45"/>
        <v>7.4932153017418202</v>
      </c>
      <c r="EM15" s="20">
        <f t="shared" si="19"/>
        <v>53.941533317200332</v>
      </c>
      <c r="EN15" s="59">
        <f t="shared" si="20"/>
        <v>347.27486665053362</v>
      </c>
      <c r="EO15" s="59">
        <f ca="1">AVERAGE(OFFSET($EN$3,0,0,'Données projet'!$E$15+1,1))-AVERAGE(OFFSET($H$3,0,0,'Données projet'!$E$15+1,1))</f>
        <v>326.31232746914907</v>
      </c>
      <c r="EP15" s="59">
        <f t="shared" si="46"/>
        <v>330.17137761430297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7.9</v>
      </c>
      <c r="FE15" s="12">
        <f>IF('Données projet'!$A$218&gt;35,FE14+FD15-FM14,IF(A15&lt;'Données projet'!$A$218,$FB$205^A15,IF(A15='Données projet'!$A$218,'Données projet'!$B$218,FE14+FD15-FM14)))</f>
        <v>20.854234472198982</v>
      </c>
      <c r="FF15" s="17">
        <f>FE15*VLOOKUP('Données projet'!$B$16,Paramètres!$A$1:$I$89,3,0)*VLOOKUP('Données projet'!$B$16,Paramètres!$A$1:$I$89,5,0)</f>
        <v>13.013042310652164</v>
      </c>
      <c r="FG15" s="13">
        <f t="shared" si="47"/>
        <v>4.4485370249728815</v>
      </c>
      <c r="FH15" s="20">
        <f t="shared" si="22"/>
        <v>30.41225067621362</v>
      </c>
      <c r="FI15" s="59">
        <f t="shared" si="23"/>
        <v>323.74558400954692</v>
      </c>
      <c r="FJ15" s="59">
        <f ca="1">AVERAGE(OFFSET($FI$3,0,0,'Données projet'!$E$16+1,1))-AVERAGE(OFFSET($H$3,0,0,'Données projet'!$E$16+1,1))</f>
        <v>255.41017495879987</v>
      </c>
      <c r="FK15" s="59">
        <f t="shared" si="48"/>
        <v>297.50513563712764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6.1</v>
      </c>
      <c r="FZ15" s="12">
        <f>IF('Données projet'!$A$244&gt;35,FZ14+FY15-GH14,IF(A15&lt;'Données projet'!$A$244,$FW$205^A15,IF(A15='Données projet'!$A$244,'Données projet'!$B$244,FZ14+FY15-GH14)))</f>
        <v>17.857304261318127</v>
      </c>
      <c r="GA15" s="17">
        <f>FZ15*VLOOKUP('Données projet'!$B$17,Paramètres!$A$1:$I$89,3,0)*VLOOKUP('Données projet'!$B$17,Paramètres!$A$1:$I$89,5,0)</f>
        <v>10.678667948268242</v>
      </c>
      <c r="GB15" s="13">
        <f t="shared" si="49"/>
        <v>3.7355087572334162</v>
      </c>
      <c r="GC15" s="20">
        <f t="shared" si="25"/>
        <v>25.10469109541539</v>
      </c>
      <c r="GD15" s="59">
        <f t="shared" si="26"/>
        <v>318.43802442874869</v>
      </c>
      <c r="GE15" s="59">
        <f ca="1">AVERAGE(OFFSET($GD$3,0,0,'Données projet'!$E$17+1,1))-AVERAGE(OFFSET($H$3,0,0,'Données projet'!$E$17+1,1))</f>
        <v>259.30247982593914</v>
      </c>
      <c r="GF15" s="59">
        <f t="shared" si="50"/>
        <v>275.24740346220779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4.75</v>
      </c>
      <c r="GU15" s="12">
        <f>IF('Données projet'!$A$270&gt;35,GU14+GT15-HC14,IF(A15&lt;'Données projet'!$A$270,$GR$205^A15,IF(A15='Données projet'!$A$270,'Données projet'!$B$270,GU14+GT15-HC14)))</f>
        <v>15.368594899018873</v>
      </c>
      <c r="GV15" s="17">
        <f>GU15*VLOOKUP('Données projet'!$B$18,Paramètres!$A$1:$I$89,3,0)*VLOOKUP('Données projet'!$B$18,Paramètres!$A$1:$I$89,5,0)</f>
        <v>12.227254101659417</v>
      </c>
      <c r="GW15" s="13">
        <f t="shared" si="51"/>
        <v>4.2103278436094334</v>
      </c>
      <c r="GX15" s="20">
        <f t="shared" si="28"/>
        <v>28.628788554676579</v>
      </c>
      <c r="GY15" s="59">
        <f t="shared" si="29"/>
        <v>321.9621218880099</v>
      </c>
      <c r="GZ15" s="59">
        <f ca="1">AVERAGE(OFFSET($GY$3,0,0,'Données projet'!$E$18+1,1))-AVERAGE(OFFSET($H$3,0,0,'Données projet'!$E$18+1,1))</f>
        <v>199.58763537752952</v>
      </c>
      <c r="HA15" s="59">
        <f t="shared" si="52"/>
        <v>242.62852778451929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317.51084751837828</v>
      </c>
      <c r="S16" s="59">
        <f ca="1">AVERAGE(OFFSET($R$3,0,0,'Données projet'!$E$9+1,1))-AVERAGE(OFFSET($H$3,0,0,'Données projet'!$E$9+1,1))</f>
        <v>237.22177246688199</v>
      </c>
      <c r="T16" s="59">
        <f t="shared" si="34"/>
        <v>149.27472147904302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11.511979134151852</v>
      </c>
      <c r="AK16" s="13">
        <f t="shared" si="35"/>
        <v>3.9919417855793822</v>
      </c>
      <c r="AL16" s="20">
        <f t="shared" si="4"/>
        <v>27.002662268531896</v>
      </c>
      <c r="AM16" s="59">
        <f t="shared" si="5"/>
        <v>320.33599560186519</v>
      </c>
      <c r="AN16" s="59">
        <f ca="1">AVERAGE(OFFSET($AM$3,0,0,'Données projet'!$E$10+1,1))-AVERAGE(OFFSET($H$3,0,0,'Données projet'!$E$10+1,1))</f>
        <v>279.20364724206644</v>
      </c>
      <c r="AO16" s="59">
        <f t="shared" si="36"/>
        <v>173.99850582760712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7.9</v>
      </c>
      <c r="BD16" s="12">
        <f>IF('Données projet'!$A$88&gt;35,BD15+BC16-BL15,IF(A16&lt;'Données projet'!$A$88,$BA$205^A16,IF(A16='Données projet'!$A$88,'Données projet'!$B$88,BD15+BC16-BL15)))</f>
        <v>26.861304900499697</v>
      </c>
      <c r="BE16" s="13">
        <f>BD16*VLOOKUP('Données projet'!$B$11,Paramètres!$A$1:$I$89,3,0)*VLOOKUP('Données projet'!$B$11,Paramètres!$A$1:$I$89,5,0)</f>
        <v>12.571090693433858</v>
      </c>
      <c r="BF16" s="13">
        <f t="shared" si="37"/>
        <v>4.3147735914069099</v>
      </c>
      <c r="BG16" s="20">
        <f t="shared" si="7"/>
        <v>29.409546962764335</v>
      </c>
      <c r="BH16" s="59">
        <f t="shared" si="8"/>
        <v>322.74288029609767</v>
      </c>
      <c r="BI16" s="59">
        <f ca="1">AVERAGE(OFFSET($BH$3,0,0,'Données projet'!$E$11+1,1))-AVERAGE(OFFSET($H$3,0,0,'Données projet'!$E$11+1,1))</f>
        <v>215.23235148064941</v>
      </c>
      <c r="BJ16" s="59">
        <f t="shared" si="38"/>
        <v>184.07239726900434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</v>
      </c>
      <c r="BY16" s="12">
        <f>IF('Données projet'!$A$114&gt;35,BY15+BX16-CG15,IF(A16&lt;'Données projet'!$A$114,$BV$205^A16,IF(A16='Données projet'!$A$114,'Données projet'!$B$114,BY15+BX16-CG15)))</f>
        <v>11.35303662145153</v>
      </c>
      <c r="BZ16" s="13">
        <f>BY16*VLOOKUP('Données projet'!$B$12,Paramètres!$A$1:$I$89,3,0)*VLOOKUP('Données projet'!$B$12,Paramètres!$A$1:$I$89,5,0)</f>
        <v>12.220408619330426</v>
      </c>
      <c r="CA16" s="13">
        <f t="shared" si="39"/>
        <v>4.2082449797185175</v>
      </c>
      <c r="CB16" s="20">
        <f t="shared" si="10"/>
        <v>28.613238351676909</v>
      </c>
      <c r="CC16" s="59">
        <f t="shared" si="11"/>
        <v>321.94657168501021</v>
      </c>
      <c r="CD16" s="59">
        <f ca="1">AVERAGE(OFFSET($CC$3,0,0,'Données projet'!$E$12+1,1))-AVERAGE(OFFSET($H$3,0,0,'Données projet'!$E$12+1,1))</f>
        <v>303.1504619632214</v>
      </c>
      <c r="CE16" s="59">
        <f t="shared" si="40"/>
        <v>188.09929616366503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4.75</v>
      </c>
      <c r="CT16" s="12">
        <f>IF('Données projet'!$A$140&gt;35,CT15+CS16-DB15,IF(A16&lt;'Données projet'!$A$140,$CQ$205^A16,IF(A16='Données projet'!$A$140,'Données projet'!$B$140,CT15+CS16-DB15)))</f>
        <v>19.298357323959845</v>
      </c>
      <c r="CU16" s="17">
        <f>CT16*VLOOKUP('Données projet'!$B$13,Paramètres!$A$1:$I$89,3,0)*VLOOKUP('Données projet'!$B$13,Paramètres!$A$1:$I$89,5,0)</f>
        <v>12.945338092912264</v>
      </c>
      <c r="CV16" s="13">
        <f t="shared" si="41"/>
        <v>4.4280800440403496</v>
      </c>
      <c r="CW16" s="20">
        <f t="shared" si="13"/>
        <v>30.258703255192469</v>
      </c>
      <c r="CX16" s="59">
        <f t="shared" si="14"/>
        <v>323.59203658852579</v>
      </c>
      <c r="CY16" s="59">
        <f ca="1">AVERAGE(OFFSET($CX$3,0,0,'Données projet'!$E$13+1,1))-AVERAGE(OFFSET($H$3,0,0,'Données projet'!$E$13+1,1))</f>
        <v>156.63226020379989</v>
      </c>
      <c r="CZ16" s="59">
        <f t="shared" si="42"/>
        <v>196.0481096619543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14.2</v>
      </c>
      <c r="DO16" s="12">
        <f>IF('Données projet'!$A$166&gt;35,DO15+DN16-DW15,IF(A16&lt;'Données projet'!$A$166,$DL$205^A16,IF(A16='Données projet'!$A$166,'Données projet'!$B$166,DO15+DN16-DW15)))</f>
        <v>113.60000000000001</v>
      </c>
      <c r="DP16" s="17">
        <f>DO16*VLOOKUP('Données projet'!$B$14,Paramètres!$A$1:$I$89,3,0)*VLOOKUP('Données projet'!$B$14,Paramètres!$A$1:$I$89,5,0)</f>
        <v>102.78528000000001</v>
      </c>
      <c r="DQ16" s="13">
        <f t="shared" si="43"/>
        <v>27.624487443976534</v>
      </c>
      <c r="DR16" s="20">
        <f t="shared" si="16"/>
        <v>227.1303449649258</v>
      </c>
      <c r="DS16" s="59">
        <f t="shared" si="17"/>
        <v>520.46367829825908</v>
      </c>
      <c r="DT16" s="59">
        <f ca="1">AVERAGE(OFFSET($DS$3,0,0,'Données projet'!$E$14+1,1))-AVERAGE(OFFSET($H$3,0,0,'Données projet'!$E$14+1,1))</f>
        <v>225.28075317732998</v>
      </c>
      <c r="DU16" s="59">
        <f t="shared" si="44"/>
        <v>358.43407531256207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3.5972295011644042</v>
      </c>
      <c r="EC16" s="21">
        <f>EXP(-LN(2)/2)*EC15+(1-EXP(-LN(2)/2))/(LN(2)/2)*DW16*DZ16*VLOOKUP('Données projet'!$B$14,Paramètres!$A$1:$I$89,3,0)*0.475*44/12</f>
        <v>3.2671623045169809</v>
      </c>
      <c r="ED16" s="22">
        <f t="shared" si="18"/>
        <v>6.8643918056813851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15</v>
      </c>
      <c r="EJ16" s="12">
        <f>IF('Données projet'!$A$192&gt;35,EJ15+EI16-ER15,IF(A16&lt;'Données projet'!$A$192,$EG$205^A16,IF(A16='Données projet'!$A$192,'Données projet'!$B$192,EJ15+EI16-ER15)))</f>
        <v>57</v>
      </c>
      <c r="EK16" s="17">
        <f>EJ16*VLOOKUP('Données projet'!$B$15,Paramètres!$A$1:$I$89,3,0)*VLOOKUP('Données projet'!$B$15,Paramètres!$A$1:$I$89,5,0)</f>
        <v>31.863</v>
      </c>
      <c r="EL16" s="13">
        <f t="shared" si="45"/>
        <v>9.8142283995824151</v>
      </c>
      <c r="EM16" s="20">
        <f t="shared" si="19"/>
        <v>72.587839462606041</v>
      </c>
      <c r="EN16" s="59">
        <f t="shared" si="20"/>
        <v>365.92117279593936</v>
      </c>
      <c r="EO16" s="59">
        <f ca="1">AVERAGE(OFFSET($EN$3,0,0,'Données projet'!$E$15+1,1))-AVERAGE(OFFSET($H$3,0,0,'Données projet'!$E$15+1,1))</f>
        <v>326.31232746914907</v>
      </c>
      <c r="EP16" s="59">
        <f t="shared" si="46"/>
        <v>330.17137761430297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7.9</v>
      </c>
      <c r="FE16" s="12">
        <f>IF('Données projet'!$A$218&gt;35,FE15+FD16-FM15,IF(A16&lt;'Données projet'!$A$218,$FB$205^A16,IF(A16='Données projet'!$A$218,'Données projet'!$B$218,FE15+FD16-FM15)))</f>
        <v>26.861304900499697</v>
      </c>
      <c r="FF16" s="17">
        <f>FE16*VLOOKUP('Données projet'!$B$16,Paramètres!$A$1:$I$89,3,0)*VLOOKUP('Données projet'!$B$16,Paramètres!$A$1:$I$89,5,0)</f>
        <v>16.761454257911808</v>
      </c>
      <c r="FG16" s="13">
        <f t="shared" si="47"/>
        <v>5.5635741376681862</v>
      </c>
      <c r="FH16" s="20">
        <f t="shared" si="22"/>
        <v>38.88275778896849</v>
      </c>
      <c r="FI16" s="59">
        <f t="shared" si="23"/>
        <v>332.2160911223018</v>
      </c>
      <c r="FJ16" s="59">
        <f ca="1">AVERAGE(OFFSET($FI$3,0,0,'Données projet'!$E$16+1,1))-AVERAGE(OFFSET($H$3,0,0,'Données projet'!$E$16+1,1))</f>
        <v>255.41017495879987</v>
      </c>
      <c r="FK16" s="59">
        <f t="shared" si="48"/>
        <v>297.50513563712764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6.1</v>
      </c>
      <c r="FZ16" s="12">
        <f>IF('Données projet'!$A$244&gt;35,FZ15+FY16-GH15,IF(A16&lt;'Données projet'!$A$244,$FW$205^A16,IF(A16='Données projet'!$A$244,'Données projet'!$B$244,FZ15+FY16-GH15)))</f>
        <v>22.705647431559356</v>
      </c>
      <c r="GA16" s="17">
        <f>FZ16*VLOOKUP('Données projet'!$B$17,Paramètres!$A$1:$I$89,3,0)*VLOOKUP('Données projet'!$B$17,Paramètres!$A$1:$I$89,5,0)</f>
        <v>13.577977164072495</v>
      </c>
      <c r="GB16" s="13">
        <f t="shared" si="49"/>
        <v>4.6187572366626446</v>
      </c>
      <c r="GC16" s="20">
        <f t="shared" si="25"/>
        <v>31.692645747947029</v>
      </c>
      <c r="GD16" s="59">
        <f t="shared" si="26"/>
        <v>325.02597908128035</v>
      </c>
      <c r="GE16" s="59">
        <f ca="1">AVERAGE(OFFSET($GD$3,0,0,'Données projet'!$E$17+1,1))-AVERAGE(OFFSET($H$3,0,0,'Données projet'!$E$17+1,1))</f>
        <v>259.30247982593914</v>
      </c>
      <c r="GF16" s="59">
        <f t="shared" si="50"/>
        <v>275.24740346220779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4.75</v>
      </c>
      <c r="GU16" s="12">
        <f>IF('Données projet'!$A$270&gt;35,GU15+GT16-HC15,IF(A16&lt;'Données projet'!$A$270,$GR$205^A16,IF(A16='Données projet'!$A$270,'Données projet'!$B$270,GU15+GT16-HC15)))</f>
        <v>19.298357323959845</v>
      </c>
      <c r="GV16" s="17">
        <f>GU16*VLOOKUP('Données projet'!$B$18,Paramètres!$A$1:$I$89,3,0)*VLOOKUP('Données projet'!$B$18,Paramètres!$A$1:$I$89,5,0)</f>
        <v>15.353773086942452</v>
      </c>
      <c r="GW16" s="13">
        <f t="shared" si="51"/>
        <v>5.1486307128581252</v>
      </c>
      <c r="GX16" s="20">
        <f t="shared" si="28"/>
        <v>35.708353284652667</v>
      </c>
      <c r="GY16" s="59">
        <f t="shared" si="29"/>
        <v>329.04168661798599</v>
      </c>
      <c r="GZ16" s="59">
        <f ca="1">AVERAGE(OFFSET($GY$3,0,0,'Données projet'!$E$18+1,1))-AVERAGE(OFFSET($H$3,0,0,'Données projet'!$E$18+1,1))</f>
        <v>199.58763537752952</v>
      </c>
      <c r="HA16" s="59">
        <f t="shared" si="52"/>
        <v>242.62852778451929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322.31592994573543</v>
      </c>
      <c r="S17" s="59">
        <f ca="1">AVERAGE(OFFSET($R$3,0,0,'Données projet'!$E$9+1,1))-AVERAGE(OFFSET($H$3,0,0,'Données projet'!$E$9+1,1))</f>
        <v>237.22177246688199</v>
      </c>
      <c r="T17" s="59">
        <f t="shared" si="34"/>
        <v>149.27472147904302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13.877539056685173</v>
      </c>
      <c r="AK17" s="13">
        <f t="shared" si="35"/>
        <v>4.7086819085950955</v>
      </c>
      <c r="AL17" s="20">
        <f t="shared" si="4"/>
        <v>32.371001514529802</v>
      </c>
      <c r="AM17" s="59">
        <f t="shared" si="5"/>
        <v>325.70433484786309</v>
      </c>
      <c r="AN17" s="59">
        <f ca="1">AVERAGE(OFFSET($AM$3,0,0,'Données projet'!$E$10+1,1))-AVERAGE(OFFSET($H$3,0,0,'Données projet'!$E$10+1,1))</f>
        <v>279.20364724206644</v>
      </c>
      <c r="AO17" s="59">
        <f t="shared" si="36"/>
        <v>173.99850582760712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7.9</v>
      </c>
      <c r="BD17" s="12">
        <f>IF('Données projet'!$A$88&gt;35,BD16+BC17-BL16,IF(A17&lt;'Données projet'!$A$88,$BA$205^A17,IF(A17='Données projet'!$A$88,'Données projet'!$B$88,BD16+BC17-BL16)))</f>
        <v>34.598714324397214</v>
      </c>
      <c r="BE17" s="13">
        <f>BD17*VLOOKUP('Données projet'!$B$11,Paramètres!$A$1:$I$89,3,0)*VLOOKUP('Données projet'!$B$11,Paramètres!$A$1:$I$89,5,0)</f>
        <v>16.192198303817896</v>
      </c>
      <c r="BF17" s="13">
        <f t="shared" si="37"/>
        <v>5.3962825594761723</v>
      </c>
      <c r="BG17" s="20">
        <f t="shared" si="7"/>
        <v>37.599937503570509</v>
      </c>
      <c r="BH17" s="59">
        <f t="shared" si="8"/>
        <v>330.93327083690383</v>
      </c>
      <c r="BI17" s="59">
        <f ca="1">AVERAGE(OFFSET($BH$3,0,0,'Données projet'!$E$11+1,1))-AVERAGE(OFFSET($H$3,0,0,'Données projet'!$E$11+1,1))</f>
        <v>215.23235148064941</v>
      </c>
      <c r="BJ17" s="59">
        <f t="shared" si="38"/>
        <v>184.07239726900434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</v>
      </c>
      <c r="BY17" s="12">
        <f>IF('Données projet'!$A$114&gt;35,BY16+BX17-CG16,IF(A17&lt;'Données projet'!$A$114,$BV$205^A17,IF(A17='Données projet'!$A$114,'Données projet'!$B$114,BY16+BX17-CG16)))</f>
        <v>13.685935953338433</v>
      </c>
      <c r="BZ17" s="13">
        <f>BY17*VLOOKUP('Données projet'!$B$12,Paramètres!$A$1:$I$89,3,0)*VLOOKUP('Données projet'!$B$12,Paramètres!$A$1:$I$89,5,0)</f>
        <v>14.731541460173487</v>
      </c>
      <c r="CA17" s="13">
        <f t="shared" si="39"/>
        <v>4.9638216355053304</v>
      </c>
      <c r="CB17" s="20">
        <f t="shared" si="10"/>
        <v>34.302757391640604</v>
      </c>
      <c r="CC17" s="59">
        <f t="shared" si="11"/>
        <v>327.63609072497394</v>
      </c>
      <c r="CD17" s="59">
        <f ca="1">AVERAGE(OFFSET($CC$3,0,0,'Données projet'!$E$12+1,1))-AVERAGE(OFFSET($H$3,0,0,'Données projet'!$E$12+1,1))</f>
        <v>303.1504619632214</v>
      </c>
      <c r="CE17" s="59">
        <f t="shared" si="40"/>
        <v>188.09929616366503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4.75</v>
      </c>
      <c r="CT17" s="12">
        <f>IF('Données projet'!$A$140&gt;35,CT16+CS17-DB16,IF(A17&lt;'Données projet'!$A$140,$CQ$205^A17,IF(A17='Données projet'!$A$140,'Données projet'!$B$140,CT16+CS17-DB16)))</f>
        <v>24.232963250726986</v>
      </c>
      <c r="CU17" s="17">
        <f>CT17*VLOOKUP('Données projet'!$B$13,Paramètres!$A$1:$I$89,3,0)*VLOOKUP('Données projet'!$B$13,Paramètres!$A$1:$I$89,5,0)</f>
        <v>16.255471748587663</v>
      </c>
      <c r="CV17" s="13">
        <f t="shared" si="41"/>
        <v>5.4149106104277989</v>
      </c>
      <c r="CW17" s="20">
        <f t="shared" si="13"/>
        <v>37.742582608618598</v>
      </c>
      <c r="CX17" s="59">
        <f t="shared" si="14"/>
        <v>331.07591594195191</v>
      </c>
      <c r="CY17" s="59">
        <f ca="1">AVERAGE(OFFSET($CX$3,0,0,'Données projet'!$E$13+1,1))-AVERAGE(OFFSET($H$3,0,0,'Données projet'!$E$13+1,1))</f>
        <v>156.63226020379989</v>
      </c>
      <c r="CZ17" s="59">
        <f t="shared" si="42"/>
        <v>196.0481096619543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14.2</v>
      </c>
      <c r="DO17" s="12">
        <f>IF('Données projet'!$A$166&gt;35,DO16+DN17-DW16,IF(A17&lt;'Données projet'!$A$166,$DL$205^A17,IF(A17='Données projet'!$A$166,'Données projet'!$B$166,DO16+DN17-DW16)))</f>
        <v>127.80000000000001</v>
      </c>
      <c r="DP17" s="17">
        <f>DO17*VLOOKUP('Données projet'!$B$14,Paramètres!$A$1:$I$89,3,0)*VLOOKUP('Données projet'!$B$14,Paramètres!$A$1:$I$89,5,0)</f>
        <v>115.63343999999999</v>
      </c>
      <c r="DQ17" s="13">
        <f t="shared" si="43"/>
        <v>30.654384291094836</v>
      </c>
      <c r="DR17" s="20">
        <f t="shared" si="16"/>
        <v>254.78462730699016</v>
      </c>
      <c r="DS17" s="59">
        <f t="shared" si="17"/>
        <v>548.11796064032342</v>
      </c>
      <c r="DT17" s="59">
        <f ca="1">AVERAGE(OFFSET($DS$3,0,0,'Données projet'!$E$14+1,1))-AVERAGE(OFFSET($H$3,0,0,'Données projet'!$E$14+1,1))</f>
        <v>225.28075317732998</v>
      </c>
      <c r="DU17" s="59">
        <f t="shared" si="44"/>
        <v>358.43407531256207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3.4988630712849855</v>
      </c>
      <c r="EC17" s="21">
        <f>EXP(-LN(2)/2)*EC16+(1-EXP(-LN(2)/2))/(LN(2)/2)*DW17*DZ17*VLOOKUP('Données projet'!$B$14,Paramètres!$A$1:$I$89,3,0)*0.475*44/12</f>
        <v>2.3102326207610253</v>
      </c>
      <c r="ED17" s="22">
        <f t="shared" si="18"/>
        <v>5.8090956920460108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15</v>
      </c>
      <c r="EJ17" s="12">
        <f>IF('Données projet'!$A$192&gt;35,EJ16+EI17-ER16,IF(A17&lt;'Données projet'!$A$192,$EG$205^A17,IF(A17='Données projet'!$A$192,'Données projet'!$B$192,EJ16+EI17-ER16)))</f>
        <v>72</v>
      </c>
      <c r="EK17" s="17">
        <f>EJ17*VLOOKUP('Données projet'!$B$15,Paramètres!$A$1:$I$89,3,0)*VLOOKUP('Données projet'!$B$15,Paramètres!$A$1:$I$89,5,0)</f>
        <v>40.248000000000005</v>
      </c>
      <c r="EL17" s="13">
        <f t="shared" si="45"/>
        <v>12.064355669675363</v>
      </c>
      <c r="EM17" s="20">
        <f t="shared" si="19"/>
        <v>91.110686124684605</v>
      </c>
      <c r="EN17" s="59">
        <f t="shared" si="20"/>
        <v>384.44401945801792</v>
      </c>
      <c r="EO17" s="59">
        <f ca="1">AVERAGE(OFFSET($EN$3,0,0,'Données projet'!$E$15+1,1))-AVERAGE(OFFSET($H$3,0,0,'Données projet'!$E$15+1,1))</f>
        <v>326.31232746914907</v>
      </c>
      <c r="EP17" s="59">
        <f t="shared" si="46"/>
        <v>330.17137761430297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7.9</v>
      </c>
      <c r="FE17" s="12">
        <f>IF('Données projet'!$A$218&gt;35,FE16+FD17-FM16,IF(A17&lt;'Données projet'!$A$218,$FB$205^A17,IF(A17='Données projet'!$A$218,'Données projet'!$B$218,FE16+FD17-FM16)))</f>
        <v>34.598714324397214</v>
      </c>
      <c r="FF17" s="17">
        <f>FE17*VLOOKUP('Données projet'!$B$16,Paramètres!$A$1:$I$89,3,0)*VLOOKUP('Données projet'!$B$16,Paramètres!$A$1:$I$89,5,0)</f>
        <v>21.589597738423862</v>
      </c>
      <c r="FG17" s="13">
        <f t="shared" si="47"/>
        <v>6.9580981368855754</v>
      </c>
      <c r="FH17" s="20">
        <f t="shared" si="22"/>
        <v>49.720570316163929</v>
      </c>
      <c r="FI17" s="59">
        <f t="shared" si="23"/>
        <v>343.05390364949722</v>
      </c>
      <c r="FJ17" s="59">
        <f ca="1">AVERAGE(OFFSET($FI$3,0,0,'Données projet'!$E$16+1,1))-AVERAGE(OFFSET($H$3,0,0,'Données projet'!$E$16+1,1))</f>
        <v>255.41017495879987</v>
      </c>
      <c r="FK17" s="59">
        <f t="shared" si="48"/>
        <v>297.50513563712764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6.1</v>
      </c>
      <c r="FZ17" s="12">
        <f>IF('Données projet'!$A$244&gt;35,FZ16+FY17-GH16,IF(A17&lt;'Données projet'!$A$244,$FW$205^A17,IF(A17='Données projet'!$A$244,'Données projet'!$B$244,FZ16+FY17-GH16)))</f>
        <v>28.870338867610421</v>
      </c>
      <c r="GA17" s="17">
        <f>FZ17*VLOOKUP('Données projet'!$B$17,Paramètres!$A$1:$I$89,3,0)*VLOOKUP('Données projet'!$B$17,Paramètres!$A$1:$I$89,5,0)</f>
        <v>17.264462642831035</v>
      </c>
      <c r="GB17" s="13">
        <f t="shared" si="49"/>
        <v>5.7108468478127987</v>
      </c>
      <c r="GC17" s="20">
        <f t="shared" si="25"/>
        <v>40.015330696204671</v>
      </c>
      <c r="GD17" s="59">
        <f t="shared" si="26"/>
        <v>333.34866402953799</v>
      </c>
      <c r="GE17" s="59">
        <f ca="1">AVERAGE(OFFSET($GD$3,0,0,'Données projet'!$E$17+1,1))-AVERAGE(OFFSET($H$3,0,0,'Données projet'!$E$17+1,1))</f>
        <v>259.30247982593914</v>
      </c>
      <c r="GF17" s="59">
        <f t="shared" si="50"/>
        <v>275.24740346220779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4.75</v>
      </c>
      <c r="GU17" s="12">
        <f>IF('Données projet'!$A$270&gt;35,GU16+GT17-HC16,IF(A17&lt;'Données projet'!$A$270,$GR$205^A17,IF(A17='Données projet'!$A$270,'Données projet'!$B$270,GU16+GT17-HC16)))</f>
        <v>24.232963250726986</v>
      </c>
      <c r="GV17" s="17">
        <f>GU17*VLOOKUP('Données projet'!$B$18,Paramètres!$A$1:$I$89,3,0)*VLOOKUP('Données projet'!$B$18,Paramètres!$A$1:$I$89,5,0)</f>
        <v>19.279745562278389</v>
      </c>
      <c r="GW17" s="13">
        <f t="shared" si="51"/>
        <v>6.2960413540292901</v>
      </c>
      <c r="GX17" s="20">
        <f t="shared" si="28"/>
        <v>44.544495545902528</v>
      </c>
      <c r="GY17" s="59">
        <f t="shared" si="29"/>
        <v>337.87782887923584</v>
      </c>
      <c r="GZ17" s="59">
        <f ca="1">AVERAGE(OFFSET($GY$3,0,0,'Données projet'!$E$18+1,1))-AVERAGE(OFFSET($H$3,0,0,'Données projet'!$E$18+1,1))</f>
        <v>199.58763537752952</v>
      </c>
      <c r="HA17" s="59">
        <f t="shared" si="52"/>
        <v>242.62852778451929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328.07911334160997</v>
      </c>
      <c r="S18" s="59">
        <f ca="1">AVERAGE(OFFSET($R$3,0,0,'Données projet'!$E$9+1,1))-AVERAGE(OFFSET($H$3,0,0,'Données projet'!$E$9+1,1))</f>
        <v>237.22177246688199</v>
      </c>
      <c r="T18" s="59">
        <f t="shared" si="34"/>
        <v>149.27472147904302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16.729190352551068</v>
      </c>
      <c r="AK18" s="13">
        <f t="shared" si="35"/>
        <v>5.5541103821765283</v>
      </c>
      <c r="AL18" s="20">
        <f t="shared" si="4"/>
        <v>38.810082112983899</v>
      </c>
      <c r="AM18" s="59">
        <f t="shared" si="5"/>
        <v>332.14341544631719</v>
      </c>
      <c r="AN18" s="59">
        <f ca="1">AVERAGE(OFFSET($AM$3,0,0,'Données projet'!$E$10+1,1))-AVERAGE(OFFSET($H$3,0,0,'Données projet'!$E$10+1,1))</f>
        <v>279.20364724206644</v>
      </c>
      <c r="AO18" s="59">
        <f t="shared" si="36"/>
        <v>173.99850582760712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7.9</v>
      </c>
      <c r="BD18" s="12">
        <f>IF('Données projet'!$A$88&gt;35,BD17+BC18-BL17,IF(A18&lt;'Données projet'!$A$88,$BA$205^A18,IF(A18='Données projet'!$A$88,'Données projet'!$B$88,BD17+BC18-BL17)))</f>
        <v>44.564887571004775</v>
      </c>
      <c r="BE18" s="13">
        <f>BD18*VLOOKUP('Données projet'!$B$11,Paramètres!$A$1:$I$89,3,0)*VLOOKUP('Données projet'!$B$11,Paramètres!$A$1:$I$89,5,0)</f>
        <v>20.856367383230236</v>
      </c>
      <c r="BF18" s="13">
        <f t="shared" si="37"/>
        <v>6.7488744993944465</v>
      </c>
      <c r="BG18" s="20">
        <f t="shared" si="7"/>
        <v>48.079129612237985</v>
      </c>
      <c r="BH18" s="59">
        <f t="shared" si="8"/>
        <v>341.41246294557129</v>
      </c>
      <c r="BI18" s="59">
        <f ca="1">AVERAGE(OFFSET($BH$3,0,0,'Données projet'!$E$11+1,1))-AVERAGE(OFFSET($H$3,0,0,'Données projet'!$E$11+1,1))</f>
        <v>215.23235148064941</v>
      </c>
      <c r="BJ18" s="59">
        <f t="shared" si="38"/>
        <v>184.07239726900434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</v>
      </c>
      <c r="BY18" s="12">
        <f>IF('Données projet'!$A$114&gt;35,BY17+BX18-CG17,IF(A18&lt;'Données projet'!$A$114,$BV$205^A18,IF(A18='Données projet'!$A$114,'Données projet'!$B$114,BY17+BX18-CG17)))</f>
        <v>16.498215337821566</v>
      </c>
      <c r="BZ18" s="13">
        <f>BY18*VLOOKUP('Données projet'!$B$12,Paramètres!$A$1:$I$89,3,0)*VLOOKUP('Données projet'!$B$12,Paramètres!$A$1:$I$89,5,0)</f>
        <v>17.758678989631132</v>
      </c>
      <c r="CA18" s="13">
        <f t="shared" si="39"/>
        <v>5.8550596146042126</v>
      </c>
      <c r="CB18" s="20">
        <f t="shared" si="10"/>
        <v>41.127261402376554</v>
      </c>
      <c r="CC18" s="59">
        <f t="shared" si="11"/>
        <v>334.46059473570989</v>
      </c>
      <c r="CD18" s="59">
        <f ca="1">AVERAGE(OFFSET($CC$3,0,0,'Données projet'!$E$12+1,1))-AVERAGE(OFFSET($H$3,0,0,'Données projet'!$E$12+1,1))</f>
        <v>303.1504619632214</v>
      </c>
      <c r="CE18" s="59">
        <f t="shared" si="40"/>
        <v>188.09929616366503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4.75</v>
      </c>
      <c r="CT18" s="12">
        <f>IF('Données projet'!$A$140&gt;35,CT17+CS18-DB17,IF(A18&lt;'Données projet'!$A$140,$CQ$205^A18,IF(A18='Données projet'!$A$140,'Données projet'!$B$140,CT17+CS18-DB17)))</f>
        <v>30.429351993705815</v>
      </c>
      <c r="CU18" s="17">
        <f>CT18*VLOOKUP('Données projet'!$B$13,Paramètres!$A$1:$I$89,3,0)*VLOOKUP('Données projet'!$B$13,Paramètres!$A$1:$I$89,5,0)</f>
        <v>20.412009317377862</v>
      </c>
      <c r="CV18" s="13">
        <f t="shared" si="41"/>
        <v>6.6216637069120585</v>
      </c>
      <c r="CW18" s="20">
        <f t="shared" si="13"/>
        <v>47.083647183971607</v>
      </c>
      <c r="CX18" s="59">
        <f t="shared" si="14"/>
        <v>340.41698051730492</v>
      </c>
      <c r="CY18" s="59">
        <f ca="1">AVERAGE(OFFSET($CX$3,0,0,'Données projet'!$E$13+1,1))-AVERAGE(OFFSET($H$3,0,0,'Données projet'!$E$13+1,1))</f>
        <v>156.63226020379989</v>
      </c>
      <c r="CZ18" s="59">
        <f t="shared" si="42"/>
        <v>196.0481096619543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142</v>
      </c>
      <c r="DM18" s="12">
        <f>VLOOKUP(A18,'Données projet'!$A$165:$I$185,9,0)</f>
        <v>14.2</v>
      </c>
      <c r="DN18" s="12">
        <f t="array" ref="DN18">INDEX(DM:DM,MIN(IF(ISNUMBER(DM18:DM214),ROW(DM18:DM214),"")))</f>
        <v>14.2</v>
      </c>
      <c r="DO18" s="12">
        <f>IF('Données projet'!$A$166&gt;35,DO17+DN18-DW17,IF(A18&lt;'Données projet'!$A$166,$DL$205^A18,IF(A18='Données projet'!$A$166,'Données projet'!$B$166,DO17+DN18-DW17)))</f>
        <v>142</v>
      </c>
      <c r="DP18" s="17">
        <f>DO18*VLOOKUP('Données projet'!$B$14,Paramètres!$A$1:$I$89,3,0)*VLOOKUP('Données projet'!$B$14,Paramètres!$A$1:$I$89,5,0)</f>
        <v>128.48160000000001</v>
      </c>
      <c r="DQ18" s="13">
        <f t="shared" si="43"/>
        <v>33.645262125937215</v>
      </c>
      <c r="DR18" s="20">
        <f t="shared" si="16"/>
        <v>282.37095153600734</v>
      </c>
      <c r="DS18" s="59">
        <f t="shared" si="17"/>
        <v>575.70428486934065</v>
      </c>
      <c r="DT18" s="59">
        <f ca="1">AVERAGE(OFFSET($DS$3,0,0,'Données projet'!$E$14+1,1))-AVERAGE(OFFSET($H$3,0,0,'Données projet'!$E$14+1,1))</f>
        <v>225.28075317732998</v>
      </c>
      <c r="DU18" s="59">
        <f t="shared" si="44"/>
        <v>358.43407531256207</v>
      </c>
      <c r="DV18" s="15">
        <f>IF(ISNA(VLOOKUP(A18,'Données projet'!$A$165:$I$185,3,0)),0,VLOOKUP(A18,'Données projet'!$A$165:$I$185,3,0))</f>
        <v>3</v>
      </c>
      <c r="DW18" s="15">
        <f>IF(ISNA(VLOOKUP(A18,'Données projet'!$A$165:$I$185,4,0)),0,VLOOKUP(A18,'Données projet'!$A$165:$I$185,4,0))</f>
        <v>28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7.4999999999999997E-2</v>
      </c>
      <c r="DZ18" s="16">
        <f>IF(ISNA(VLOOKUP(A18,'Données projet'!$A$165:$I$185,7,0)),0%,VLOOKUP(A18,'Données projet'!$A$165:$I$185,7,0))</f>
        <v>0.25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5.4953982367410337</v>
      </c>
      <c r="EC18" s="21">
        <f>EXP(-LN(2)/2)*EC17+(1-EXP(-LN(2)/2))/(LN(2)/2)*DW18*DZ18*VLOOKUP('Données projet'!$B$14,Paramètres!$A$1:$I$89,3,0)*0.475*44/12</f>
        <v>7.6095032186031775</v>
      </c>
      <c r="ED18" s="22">
        <f t="shared" si="18"/>
        <v>13.104901455344212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15</v>
      </c>
      <c r="EJ18" s="12">
        <f>IF('Données projet'!$A$192&gt;35,EJ17+EI18-ER17,IF(A18&lt;'Données projet'!$A$192,$EG$205^A18,IF(A18='Données projet'!$A$192,'Données projet'!$B$192,EJ17+EI18-ER17)))</f>
        <v>87</v>
      </c>
      <c r="EK18" s="17">
        <f>EJ18*VLOOKUP('Données projet'!$B$15,Paramètres!$A$1:$I$89,3,0)*VLOOKUP('Données projet'!$B$15,Paramètres!$A$1:$I$89,5,0)</f>
        <v>48.632999999999996</v>
      </c>
      <c r="EL18" s="13">
        <f t="shared" si="45"/>
        <v>14.260158409918978</v>
      </c>
      <c r="EM18" s="20">
        <f t="shared" si="19"/>
        <v>109.53891756394221</v>
      </c>
      <c r="EN18" s="59">
        <f t="shared" si="20"/>
        <v>402.87225089727553</v>
      </c>
      <c r="EO18" s="59">
        <f ca="1">AVERAGE(OFFSET($EN$3,0,0,'Données projet'!$E$15+1,1))-AVERAGE(OFFSET($H$3,0,0,'Données projet'!$E$15+1,1))</f>
        <v>326.31232746914907</v>
      </c>
      <c r="EP18" s="59">
        <f t="shared" si="46"/>
        <v>330.17137761430297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7.9</v>
      </c>
      <c r="FE18" s="12">
        <f>IF('Données projet'!$A$218&gt;35,FE17+FD18-FM17,IF(A18&lt;'Données projet'!$A$218,$FB$205^A18,IF(A18='Données projet'!$A$218,'Données projet'!$B$218,FE17+FD18-FM17)))</f>
        <v>44.564887571004775</v>
      </c>
      <c r="FF18" s="17">
        <f>FE18*VLOOKUP('Données projet'!$B$16,Paramètres!$A$1:$I$89,3,0)*VLOOKUP('Données projet'!$B$16,Paramètres!$A$1:$I$89,5,0)</f>
        <v>27.808489844306976</v>
      </c>
      <c r="FG18" s="13">
        <f t="shared" si="47"/>
        <v>8.7021631211375059</v>
      </c>
      <c r="FH18" s="20">
        <f t="shared" si="22"/>
        <v>63.589387248149137</v>
      </c>
      <c r="FI18" s="59">
        <f t="shared" si="23"/>
        <v>356.92272058148245</v>
      </c>
      <c r="FJ18" s="59">
        <f ca="1">AVERAGE(OFFSET($FI$3,0,0,'Données projet'!$E$16+1,1))-AVERAGE(OFFSET($H$3,0,0,'Données projet'!$E$16+1,1))</f>
        <v>255.41017495879987</v>
      </c>
      <c r="FK18" s="59">
        <f t="shared" si="48"/>
        <v>297.50513563712764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6.1</v>
      </c>
      <c r="FZ18" s="12">
        <f>IF('Données projet'!$A$244&gt;35,FZ17+FY18-GH17,IF(A18&lt;'Données projet'!$A$244,$FW$205^A18,IF(A18='Données projet'!$A$244,'Données projet'!$B$244,FZ17+FY18-GH17)))</f>
        <v>36.708773394065467</v>
      </c>
      <c r="GA18" s="17">
        <f>FZ18*VLOOKUP('Données projet'!$B$17,Paramètres!$A$1:$I$89,3,0)*VLOOKUP('Données projet'!$B$17,Paramètres!$A$1:$I$89,5,0)</f>
        <v>21.95184648965115</v>
      </c>
      <c r="GB18" s="13">
        <f t="shared" si="49"/>
        <v>7.061157373739559</v>
      </c>
      <c r="GC18" s="20">
        <f t="shared" si="25"/>
        <v>50.530981728738816</v>
      </c>
      <c r="GD18" s="59">
        <f t="shared" si="26"/>
        <v>343.86431506207214</v>
      </c>
      <c r="GE18" s="59">
        <f ca="1">AVERAGE(OFFSET($GD$3,0,0,'Données projet'!$E$17+1,1))-AVERAGE(OFFSET($H$3,0,0,'Données projet'!$E$17+1,1))</f>
        <v>259.30247982593914</v>
      </c>
      <c r="GF18" s="59">
        <f t="shared" si="50"/>
        <v>275.24740346220779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4.75</v>
      </c>
      <c r="GU18" s="12">
        <f>IF('Données projet'!$A$270&gt;35,GU17+GT18-HC17,IF(A18&lt;'Données projet'!$A$270,$GR$205^A18,IF(A18='Données projet'!$A$270,'Données projet'!$B$270,GU17+GT18-HC17)))</f>
        <v>30.429351993705815</v>
      </c>
      <c r="GV18" s="17">
        <f>GU18*VLOOKUP('Données projet'!$B$18,Paramètres!$A$1:$I$89,3,0)*VLOOKUP('Données projet'!$B$18,Paramètres!$A$1:$I$89,5,0)</f>
        <v>24.209592446192346</v>
      </c>
      <c r="GW18" s="13">
        <f t="shared" si="51"/>
        <v>7.6991609890859385</v>
      </c>
      <c r="GX18" s="20">
        <f t="shared" si="28"/>
        <v>55.574412233109683</v>
      </c>
      <c r="GY18" s="59">
        <f t="shared" si="29"/>
        <v>348.907745566443</v>
      </c>
      <c r="GZ18" s="59">
        <f ca="1">AVERAGE(OFFSET($GY$3,0,0,'Données projet'!$E$18+1,1))-AVERAGE(OFFSET($H$3,0,0,'Données projet'!$E$18+1,1))</f>
        <v>199.58763537752952</v>
      </c>
      <c r="HA18" s="59">
        <f t="shared" si="52"/>
        <v>242.62852778451929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334.992017673269</v>
      </c>
      <c r="S19" s="59">
        <f ca="1">AVERAGE(OFFSET($R$3,0,0,'Données projet'!$E$9+1,1))-AVERAGE(OFFSET($H$3,0,0,'Données projet'!$E$9+1,1))</f>
        <v>237.22177246688199</v>
      </c>
      <c r="T19" s="59">
        <f t="shared" si="34"/>
        <v>149.27472147904302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20.166818389681932</v>
      </c>
      <c r="AK19" s="13">
        <f t="shared" si="35"/>
        <v>6.5513327797938032</v>
      </c>
      <c r="AL19" s="20">
        <f t="shared" si="4"/>
        <v>46.534113286836906</v>
      </c>
      <c r="AM19" s="59">
        <f t="shared" si="5"/>
        <v>339.8674466201702</v>
      </c>
      <c r="AN19" s="59">
        <f ca="1">AVERAGE(OFFSET($AM$3,0,0,'Données projet'!$E$10+1,1))-AVERAGE(OFFSET($H$3,0,0,'Données projet'!$E$10+1,1))</f>
        <v>279.20364724206644</v>
      </c>
      <c r="AO19" s="59">
        <f t="shared" si="36"/>
        <v>173.99850582760712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7.9</v>
      </c>
      <c r="BD19" s="12">
        <f>IF('Données projet'!$A$88&gt;35,BD18+BC19-BL18,IF(A19&lt;'Données projet'!$A$88,$BA$205^A19,IF(A19='Données projet'!$A$88,'Données projet'!$B$88,BD18+BC19-BL18)))</f>
        <v>57.401820934596167</v>
      </c>
      <c r="BE19" s="13">
        <f>BD19*VLOOKUP('Données projet'!$B$11,Paramètres!$A$1:$I$89,3,0)*VLOOKUP('Données projet'!$B$11,Paramètres!$A$1:$I$89,5,0)</f>
        <v>26.864052197391008</v>
      </c>
      <c r="BF19" s="13">
        <f t="shared" si="37"/>
        <v>8.4404970471001413</v>
      </c>
      <c r="BG19" s="20">
        <f t="shared" si="7"/>
        <v>61.488756600822086</v>
      </c>
      <c r="BH19" s="59">
        <f t="shared" si="8"/>
        <v>354.82208993415543</v>
      </c>
      <c r="BI19" s="59">
        <f ca="1">AVERAGE(OFFSET($BH$3,0,0,'Données projet'!$E$11+1,1))-AVERAGE(OFFSET($H$3,0,0,'Données projet'!$E$11+1,1))</f>
        <v>215.23235148064941</v>
      </c>
      <c r="BJ19" s="59">
        <f t="shared" si="38"/>
        <v>184.07239726900434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</v>
      </c>
      <c r="BY19" s="12">
        <f>IF('Données projet'!$A$114&gt;35,BY18+BX19-CG18,IF(A19&lt;'Données projet'!$A$114,$BV$205^A19,IF(A19='Données projet'!$A$114,'Données projet'!$B$114,BY18+BX19-CG18)))</f>
        <v>19.888381054913147</v>
      </c>
      <c r="BZ19" s="13">
        <f>BY19*VLOOKUP('Données projet'!$B$12,Paramètres!$A$1:$I$89,3,0)*VLOOKUP('Données projet'!$B$12,Paramètres!$A$1:$I$89,5,0)</f>
        <v>21.407853367508512</v>
      </c>
      <c r="CA19" s="13">
        <f t="shared" si="39"/>
        <v>6.906316464991046</v>
      </c>
      <c r="CB19" s="20">
        <f t="shared" si="10"/>
        <v>49.313845791603399</v>
      </c>
      <c r="CC19" s="59">
        <f t="shared" si="11"/>
        <v>342.64717912493671</v>
      </c>
      <c r="CD19" s="59">
        <f ca="1">AVERAGE(OFFSET($CC$3,0,0,'Données projet'!$E$12+1,1))-AVERAGE(OFFSET($H$3,0,0,'Données projet'!$E$12+1,1))</f>
        <v>303.1504619632214</v>
      </c>
      <c r="CE19" s="59">
        <f t="shared" si="40"/>
        <v>188.09929616366503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4.75</v>
      </c>
      <c r="CT19" s="12">
        <f>IF('Données projet'!$A$140&gt;35,CT18+CS19-DB18,IF(A19&lt;'Données projet'!$A$140,$CQ$205^A19,IF(A19='Données projet'!$A$140,'Données projet'!$B$140,CT18+CS19-DB18)))</f>
        <v>38.21016246244956</v>
      </c>
      <c r="CU19" s="17">
        <f>CT19*VLOOKUP('Données projet'!$B$13,Paramètres!$A$1:$I$89,3,0)*VLOOKUP('Données projet'!$B$13,Paramètres!$A$1:$I$89,5,0)</f>
        <v>25.631376979811165</v>
      </c>
      <c r="CV19" s="13">
        <f t="shared" si="41"/>
        <v>8.0973507047371776</v>
      </c>
      <c r="CW19" s="20">
        <f t="shared" si="13"/>
        <v>58.744200717255033</v>
      </c>
      <c r="CX19" s="59">
        <f t="shared" si="14"/>
        <v>352.07753405058833</v>
      </c>
      <c r="CY19" s="59">
        <f ca="1">AVERAGE(OFFSET($CX$3,0,0,'Données projet'!$E$13+1,1))-AVERAGE(OFFSET($H$3,0,0,'Données projet'!$E$13+1,1))</f>
        <v>156.63226020379989</v>
      </c>
      <c r="CZ19" s="59">
        <f t="shared" si="42"/>
        <v>196.0481096619543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11.2</v>
      </c>
      <c r="DO19" s="12">
        <f>IF('Données projet'!$A$166&gt;35,DO18+DN19-DW18,IF(A19&lt;'Données projet'!$A$166,$DL$205^A19,IF(A19='Données projet'!$A$166,'Données projet'!$B$166,DO18+DN19-DW18)))</f>
        <v>125.19999999999999</v>
      </c>
      <c r="DP19" s="17">
        <f>DO19*VLOOKUP('Données projet'!$B$14,Paramètres!$A$1:$I$89,3,0)*VLOOKUP('Données projet'!$B$14,Paramètres!$A$1:$I$89,5,0)</f>
        <v>113.28095999999998</v>
      </c>
      <c r="DQ19" s="13">
        <f t="shared" si="43"/>
        <v>30.102677097724456</v>
      </c>
      <c r="DR19" s="20">
        <f t="shared" si="16"/>
        <v>249.72650127853672</v>
      </c>
      <c r="DS19" s="59">
        <f t="shared" si="17"/>
        <v>543.05983461186997</v>
      </c>
      <c r="DT19" s="59">
        <f ca="1">AVERAGE(OFFSET($DS$3,0,0,'Données projet'!$E$14+1,1))-AVERAGE(OFFSET($H$3,0,0,'Données projet'!$E$14+1,1))</f>
        <v>225.28075317732998</v>
      </c>
      <c r="DU19" s="59">
        <f t="shared" si="44"/>
        <v>358.43407531256207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5.3451262829669171</v>
      </c>
      <c r="EC19" s="21">
        <f>EXP(-LN(2)/2)*EC18+(1-EXP(-LN(2)/2))/(LN(2)/2)*DW19*DZ19*VLOOKUP('Données projet'!$B$14,Paramètres!$A$1:$I$89,3,0)*0.475*44/12</f>
        <v>5.3807313273351669</v>
      </c>
      <c r="ED19" s="22">
        <f t="shared" si="18"/>
        <v>10.725857610302084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15</v>
      </c>
      <c r="EJ19" s="12">
        <f>IF('Données projet'!$A$192&gt;35,EJ18+EI19-ER18,IF(A19&lt;'Données projet'!$A$192,$EG$205^A19,IF(A19='Données projet'!$A$192,'Données projet'!$B$192,EJ18+EI19-ER18)))</f>
        <v>102</v>
      </c>
      <c r="EK19" s="17">
        <f>EJ19*VLOOKUP('Données projet'!$B$15,Paramètres!$A$1:$I$89,3,0)*VLOOKUP('Données projet'!$B$15,Paramètres!$A$1:$I$89,5,0)</f>
        <v>57.018000000000001</v>
      </c>
      <c r="EL19" s="13">
        <f t="shared" si="45"/>
        <v>16.412103612717626</v>
      </c>
      <c r="EM19" s="20">
        <f t="shared" si="19"/>
        <v>127.89076379214985</v>
      </c>
      <c r="EN19" s="59">
        <f t="shared" si="20"/>
        <v>421.22409712548318</v>
      </c>
      <c r="EO19" s="59">
        <f ca="1">AVERAGE(OFFSET($EN$3,0,0,'Données projet'!$E$15+1,1))-AVERAGE(OFFSET($H$3,0,0,'Données projet'!$E$15+1,1))</f>
        <v>326.31232746914907</v>
      </c>
      <c r="EP19" s="59">
        <f t="shared" si="46"/>
        <v>330.17137761430297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7.9</v>
      </c>
      <c r="FE19" s="12">
        <f>IF('Données projet'!$A$218&gt;35,FE18+FD19-FM18,IF(A19&lt;'Données projet'!$A$218,$FB$205^A19,IF(A19='Données projet'!$A$218,'Données projet'!$B$218,FE18+FD19-FM18)))</f>
        <v>57.401820934596167</v>
      </c>
      <c r="FF19" s="17">
        <f>FE19*VLOOKUP('Données projet'!$B$16,Paramètres!$A$1:$I$89,3,0)*VLOOKUP('Données projet'!$B$16,Paramètres!$A$1:$I$89,5,0)</f>
        <v>35.818736263188008</v>
      </c>
      <c r="FG19" s="13">
        <f t="shared" si="47"/>
        <v>10.883382426793592</v>
      </c>
      <c r="FH19" s="20">
        <f t="shared" si="22"/>
        <v>81.339523385051294</v>
      </c>
      <c r="FI19" s="59">
        <f t="shared" si="23"/>
        <v>374.67285671838459</v>
      </c>
      <c r="FJ19" s="59">
        <f ca="1">AVERAGE(OFFSET($FI$3,0,0,'Données projet'!$E$16+1,1))-AVERAGE(OFFSET($H$3,0,0,'Données projet'!$E$16+1,1))</f>
        <v>255.41017495879987</v>
      </c>
      <c r="FK19" s="59">
        <f t="shared" si="48"/>
        <v>297.50513563712764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6.1</v>
      </c>
      <c r="FZ19" s="12">
        <f>IF('Données projet'!$A$244&gt;35,FZ18+FY19-GH18,IF(A19&lt;'Données projet'!$A$244,$FW$205^A19,IF(A19='Données projet'!$A$244,'Données projet'!$B$244,FZ18+FY19-GH18)))</f>
        <v>46.675380232846685</v>
      </c>
      <c r="GA19" s="17">
        <f>FZ19*VLOOKUP('Données projet'!$B$17,Paramètres!$A$1:$I$89,3,0)*VLOOKUP('Données projet'!$B$17,Paramètres!$A$1:$I$89,5,0)</f>
        <v>27.91187737924232</v>
      </c>
      <c r="GB19" s="13">
        <f t="shared" si="49"/>
        <v>8.7307442810889597</v>
      </c>
      <c r="GC19" s="20">
        <f t="shared" si="25"/>
        <v>63.819232725076979</v>
      </c>
      <c r="GD19" s="59">
        <f t="shared" si="26"/>
        <v>357.15256605841029</v>
      </c>
      <c r="GE19" s="59">
        <f ca="1">AVERAGE(OFFSET($GD$3,0,0,'Données projet'!$E$17+1,1))-AVERAGE(OFFSET($H$3,0,0,'Données projet'!$E$17+1,1))</f>
        <v>259.30247982593914</v>
      </c>
      <c r="GF19" s="59">
        <f t="shared" si="50"/>
        <v>275.24740346220779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4.75</v>
      </c>
      <c r="GU19" s="12">
        <f>IF('Données projet'!$A$270&gt;35,GU18+GT19-HC18,IF(A19&lt;'Données projet'!$A$270,$GR$205^A19,IF(A19='Données projet'!$A$270,'Données projet'!$B$270,GU18+GT19-HC18)))</f>
        <v>38.21016246244956</v>
      </c>
      <c r="GV19" s="17">
        <f>GU19*VLOOKUP('Données projet'!$B$18,Paramètres!$A$1:$I$89,3,0)*VLOOKUP('Données projet'!$B$18,Paramètres!$A$1:$I$89,5,0)</f>
        <v>30.400005255124871</v>
      </c>
      <c r="GW19" s="13">
        <f t="shared" si="51"/>
        <v>9.4149762688466279</v>
      </c>
      <c r="GX19" s="20">
        <f t="shared" si="28"/>
        <v>69.344426154250357</v>
      </c>
      <c r="GY19" s="59">
        <f t="shared" si="29"/>
        <v>362.67775948758367</v>
      </c>
      <c r="GZ19" s="59">
        <f ca="1">AVERAGE(OFFSET($GY$3,0,0,'Données projet'!$E$18+1,1))-AVERAGE(OFFSET($H$3,0,0,'Données projet'!$E$18+1,1))</f>
        <v>199.58763537752952</v>
      </c>
      <c r="HA19" s="59">
        <f t="shared" si="52"/>
        <v>242.62852778451929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343.28469438075035</v>
      </c>
      <c r="S20" s="59">
        <f ca="1">AVERAGE(OFFSET($R$3,0,0,'Données projet'!$E$9+1,1))-AVERAGE(OFFSET($H$3,0,0,'Données projet'!$E$9+1,1))</f>
        <v>237.22177246688199</v>
      </c>
      <c r="T20" s="59">
        <f t="shared" si="34"/>
        <v>149.27472147904302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24.31083366209619</v>
      </c>
      <c r="AK20" s="13">
        <f t="shared" si="35"/>
        <v>7.7276032052466093</v>
      </c>
      <c r="AL20" s="20">
        <f t="shared" si="4"/>
        <v>55.800277543955367</v>
      </c>
      <c r="AM20" s="59">
        <f t="shared" si="5"/>
        <v>349.13361087728867</v>
      </c>
      <c r="AN20" s="59">
        <f ca="1">AVERAGE(OFFSET($AM$3,0,0,'Données projet'!$E$10+1,1))-AVERAGE(OFFSET($H$3,0,0,'Données projet'!$E$10+1,1))</f>
        <v>279.20364724206644</v>
      </c>
      <c r="AO20" s="59">
        <f t="shared" si="36"/>
        <v>173.99850582760712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7.9</v>
      </c>
      <c r="BD20" s="12">
        <f>IF('Données projet'!$A$88&gt;35,BD19+BC20-BL19,IF(A20&lt;'Données projet'!$A$88,$BA$205^A20,IF(A20='Données projet'!$A$88,'Données projet'!$B$88,BD19+BC20-BL19)))</f>
        <v>73.936437994095741</v>
      </c>
      <c r="BE20" s="13">
        <f>BD20*VLOOKUP('Données projet'!$B$11,Paramètres!$A$1:$I$89,3,0)*VLOOKUP('Données projet'!$B$11,Paramètres!$A$1:$I$89,5,0)</f>
        <v>34.602252981236802</v>
      </c>
      <c r="BF20" s="13">
        <f t="shared" si="37"/>
        <v>10.556129086190376</v>
      </c>
      <c r="BG20" s="20">
        <f t="shared" si="7"/>
        <v>78.650848767435647</v>
      </c>
      <c r="BH20" s="59">
        <f t="shared" si="8"/>
        <v>371.98418210076898</v>
      </c>
      <c r="BI20" s="59">
        <f ca="1">AVERAGE(OFFSET($BH$3,0,0,'Données projet'!$E$11+1,1))-AVERAGE(OFFSET($H$3,0,0,'Données projet'!$E$11+1,1))</f>
        <v>215.23235148064941</v>
      </c>
      <c r="BJ20" s="59">
        <f t="shared" si="38"/>
        <v>184.07239726900434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</v>
      </c>
      <c r="BY20" s="12">
        <f>IF('Données projet'!$A$114&gt;35,BY19+BX20-CG19,IF(A20&lt;'Données projet'!$A$114,$BV$205^A20,IF(A20='Données projet'!$A$114,'Données projet'!$B$114,BY19+BX20-CG19)))</f>
        <v>23.975181126327602</v>
      </c>
      <c r="BZ20" s="13">
        <f>BY20*VLOOKUP('Données projet'!$B$12,Paramètres!$A$1:$I$89,3,0)*VLOOKUP('Données projet'!$B$12,Paramètres!$A$1:$I$89,5,0)</f>
        <v>25.80688496437903</v>
      </c>
      <c r="CA20" s="13">
        <f t="shared" si="39"/>
        <v>8.146323052908933</v>
      </c>
      <c r="CB20" s="20">
        <f t="shared" si="10"/>
        <v>59.135170630109862</v>
      </c>
      <c r="CC20" s="59">
        <f t="shared" si="11"/>
        <v>352.4685039634432</v>
      </c>
      <c r="CD20" s="59">
        <f ca="1">AVERAGE(OFFSET($CC$3,0,0,'Données projet'!$E$12+1,1))-AVERAGE(OFFSET($H$3,0,0,'Données projet'!$E$12+1,1))</f>
        <v>303.1504619632214</v>
      </c>
      <c r="CE20" s="59">
        <f t="shared" si="40"/>
        <v>188.09929616366503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4.75</v>
      </c>
      <c r="CT20" s="12">
        <f>IF('Données projet'!$A$140&gt;35,CT19+CS20-DB19,IF(A20&lt;'Données projet'!$A$140,$CQ$205^A20,IF(A20='Données projet'!$A$140,'Données projet'!$B$140,CT19+CS20-DB19)))</f>
        <v>47.980532602494719</v>
      </c>
      <c r="CU20" s="17">
        <f>CT20*VLOOKUP('Données projet'!$B$13,Paramètres!$A$1:$I$89,3,0)*VLOOKUP('Données projet'!$B$13,Paramètres!$A$1:$I$89,5,0)</f>
        <v>32.185341269753458</v>
      </c>
      <c r="CV20" s="13">
        <f t="shared" si="41"/>
        <v>9.901905523692653</v>
      </c>
      <c r="CW20" s="20">
        <f t="shared" si="13"/>
        <v>73.30195483191865</v>
      </c>
      <c r="CX20" s="59">
        <f t="shared" si="14"/>
        <v>366.63528816525195</v>
      </c>
      <c r="CY20" s="59">
        <f ca="1">AVERAGE(OFFSET($CX$3,0,0,'Données projet'!$E$13+1,1))-AVERAGE(OFFSET($H$3,0,0,'Données projet'!$E$13+1,1))</f>
        <v>156.63226020379989</v>
      </c>
      <c r="CZ20" s="59">
        <f t="shared" si="42"/>
        <v>196.0481096619543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11.2</v>
      </c>
      <c r="DO20" s="12">
        <f>IF('Données projet'!$A$166&gt;35,DO19+DN20-DW19,IF(A20&lt;'Données projet'!$A$166,$DL$205^A20,IF(A20='Données projet'!$A$166,'Données projet'!$B$166,DO19+DN20-DW19)))</f>
        <v>136.39999999999998</v>
      </c>
      <c r="DP20" s="17">
        <f>DO20*VLOOKUP('Données projet'!$B$14,Paramètres!$A$1:$I$89,3,0)*VLOOKUP('Données projet'!$B$14,Paramètres!$A$1:$I$89,5,0)</f>
        <v>123.41471999999997</v>
      </c>
      <c r="DQ20" s="13">
        <f t="shared" si="43"/>
        <v>32.470121424237341</v>
      </c>
      <c r="DR20" s="20">
        <f t="shared" si="16"/>
        <v>271.49943214721333</v>
      </c>
      <c r="DS20" s="59">
        <f t="shared" si="17"/>
        <v>564.83276548054664</v>
      </c>
      <c r="DT20" s="59">
        <f ca="1">AVERAGE(OFFSET($DS$3,0,0,'Données projet'!$E$14+1,1))-AVERAGE(OFFSET($H$3,0,0,'Données projet'!$E$14+1,1))</f>
        <v>225.28075317732998</v>
      </c>
      <c r="DU20" s="59">
        <f t="shared" si="44"/>
        <v>358.43407531256207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5.1989635236712122</v>
      </c>
      <c r="EC20" s="21">
        <f>EXP(-LN(2)/2)*EC19+(1-EXP(-LN(2)/2))/(LN(2)/2)*DW20*DZ20*VLOOKUP('Données projet'!$B$14,Paramètres!$A$1:$I$89,3,0)*0.475*44/12</f>
        <v>3.8047516093015896</v>
      </c>
      <c r="ED20" s="22">
        <f t="shared" si="18"/>
        <v>9.0037151329728022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15</v>
      </c>
      <c r="EJ20" s="12">
        <f>IF('Données projet'!$A$192&gt;35,EJ19+EI20-ER19,IF(A20&lt;'Données projet'!$A$192,$EG$205^A20,IF(A20='Données projet'!$A$192,'Données projet'!$B$192,EJ19+EI20-ER19)))</f>
        <v>117</v>
      </c>
      <c r="EK20" s="17">
        <f>EJ20*VLOOKUP('Données projet'!$B$15,Paramètres!$A$1:$I$89,3,0)*VLOOKUP('Données projet'!$B$15,Paramètres!$A$1:$I$89,5,0)</f>
        <v>65.403000000000006</v>
      </c>
      <c r="EL20" s="13">
        <f t="shared" si="45"/>
        <v>18.527386684584471</v>
      </c>
      <c r="EM20" s="20">
        <f t="shared" si="19"/>
        <v>146.17875680898462</v>
      </c>
      <c r="EN20" s="59">
        <f t="shared" si="20"/>
        <v>439.5120901423179</v>
      </c>
      <c r="EO20" s="59">
        <f ca="1">AVERAGE(OFFSET($EN$3,0,0,'Données projet'!$E$15+1,1))-AVERAGE(OFFSET($H$3,0,0,'Données projet'!$E$15+1,1))</f>
        <v>326.31232746914907</v>
      </c>
      <c r="EP20" s="59">
        <f t="shared" si="46"/>
        <v>330.17137761430297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7.9</v>
      </c>
      <c r="FE20" s="12">
        <f>IF('Données projet'!$A$218&gt;35,FE19+FD20-FM19,IF(A20&lt;'Données projet'!$A$218,$FB$205^A20,IF(A20='Données projet'!$A$218,'Données projet'!$B$218,FE19+FD20-FM19)))</f>
        <v>73.936437994095741</v>
      </c>
      <c r="FF20" s="17">
        <f>FE20*VLOOKUP('Données projet'!$B$16,Paramètres!$A$1:$I$89,3,0)*VLOOKUP('Données projet'!$B$16,Paramètres!$A$1:$I$89,5,0)</f>
        <v>46.136337308315738</v>
      </c>
      <c r="FG20" s="13">
        <f t="shared" si="47"/>
        <v>13.611329895681916</v>
      </c>
      <c r="FH20" s="20">
        <f t="shared" si="22"/>
        <v>104.0605203802959</v>
      </c>
      <c r="FI20" s="59">
        <f t="shared" si="23"/>
        <v>397.3938537136292</v>
      </c>
      <c r="FJ20" s="59">
        <f ca="1">AVERAGE(OFFSET($FI$3,0,0,'Données projet'!$E$16+1,1))-AVERAGE(OFFSET($H$3,0,0,'Données projet'!$E$16+1,1))</f>
        <v>255.41017495879987</v>
      </c>
      <c r="FK20" s="59">
        <f t="shared" si="48"/>
        <v>297.50513563712764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6.1</v>
      </c>
      <c r="FZ20" s="12">
        <f>IF('Données projet'!$A$244&gt;35,FZ19+FY20-GH19,IF(A20&lt;'Données projet'!$A$244,$FW$205^A20,IF(A20='Données projet'!$A$244,'Données projet'!$B$244,FZ19+FY20-GH19)))</f>
        <v>59.347968304302356</v>
      </c>
      <c r="GA20" s="17">
        <f>FZ20*VLOOKUP('Données projet'!$B$17,Paramètres!$A$1:$I$89,3,0)*VLOOKUP('Données projet'!$B$17,Paramètres!$A$1:$I$89,5,0)</f>
        <v>35.490085045972812</v>
      </c>
      <c r="GB20" s="13">
        <f t="shared" si="49"/>
        <v>10.795099396205458</v>
      </c>
      <c r="GC20" s="20">
        <f t="shared" si="25"/>
        <v>80.613362903460484</v>
      </c>
      <c r="GD20" s="59">
        <f t="shared" si="26"/>
        <v>373.9466962367938</v>
      </c>
      <c r="GE20" s="59">
        <f ca="1">AVERAGE(OFFSET($GD$3,0,0,'Données projet'!$E$17+1,1))-AVERAGE(OFFSET($H$3,0,0,'Données projet'!$E$17+1,1))</f>
        <v>259.30247982593914</v>
      </c>
      <c r="GF20" s="59">
        <f t="shared" si="50"/>
        <v>275.24740346220779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4.75</v>
      </c>
      <c r="GU20" s="12">
        <f>IF('Données projet'!$A$270&gt;35,GU19+GT20-HC19,IF(A20&lt;'Données projet'!$A$270,$GR$205^A20,IF(A20='Données projet'!$A$270,'Données projet'!$B$270,GU19+GT20-HC19)))</f>
        <v>47.980532602494719</v>
      </c>
      <c r="GV20" s="17">
        <f>GU20*VLOOKUP('Données projet'!$B$18,Paramètres!$A$1:$I$89,3,0)*VLOOKUP('Données projet'!$B$18,Paramètres!$A$1:$I$89,5,0)</f>
        <v>38.173311738544804</v>
      </c>
      <c r="GW20" s="13">
        <f t="shared" si="51"/>
        <v>11.513173743035207</v>
      </c>
      <c r="GX20" s="20">
        <f t="shared" si="28"/>
        <v>86.537295547085179</v>
      </c>
      <c r="GY20" s="59">
        <f t="shared" si="29"/>
        <v>379.87062888041851</v>
      </c>
      <c r="GZ20" s="59">
        <f ca="1">AVERAGE(OFFSET($GY$3,0,0,'Données projet'!$E$18+1,1))-AVERAGE(OFFSET($H$3,0,0,'Données projet'!$E$18+1,1))</f>
        <v>199.58763537752952</v>
      </c>
      <c r="HA20" s="59">
        <f t="shared" si="52"/>
        <v>242.62852778451929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353.23335406291386</v>
      </c>
      <c r="S21" s="59">
        <f ca="1">AVERAGE(OFFSET($R$3,0,0,'Données projet'!$E$9+1,1))-AVERAGE(OFFSET($H$3,0,0,'Données projet'!$E$9+1,1))</f>
        <v>237.22177246688199</v>
      </c>
      <c r="T21" s="59">
        <f t="shared" si="34"/>
        <v>149.27472147904302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29.306389432677911</v>
      </c>
      <c r="AK21" s="13">
        <f t="shared" si="35"/>
        <v>9.1150691477493808</v>
      </c>
      <c r="AL21" s="20">
        <f t="shared" si="4"/>
        <v>66.917373694244205</v>
      </c>
      <c r="AM21" s="59">
        <f t="shared" si="5"/>
        <v>360.2507070275775</v>
      </c>
      <c r="AN21" s="59">
        <f ca="1">AVERAGE(OFFSET($AM$3,0,0,'Données projet'!$E$10+1,1))-AVERAGE(OFFSET($H$3,0,0,'Données projet'!$E$10+1,1))</f>
        <v>279.20364724206644</v>
      </c>
      <c r="AO21" s="59">
        <f t="shared" si="36"/>
        <v>173.99850582760712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7.9</v>
      </c>
      <c r="BD21" s="12">
        <f>IF('Données projet'!$A$88&gt;35,BD20+BC21-BL20,IF(A21&lt;'Données projet'!$A$88,$BA$205^A21,IF(A21='Données projet'!$A$88,'Données projet'!$B$88,BD20+BC21-BL20)))</f>
        <v>95.233857990035276</v>
      </c>
      <c r="BE21" s="13">
        <f>BD21*VLOOKUP('Données projet'!$B$11,Paramètres!$A$1:$I$89,3,0)*VLOOKUP('Données projet'!$B$11,Paramètres!$A$1:$I$89,5,0)</f>
        <v>44.569445539336513</v>
      </c>
      <c r="BF21" s="13">
        <f t="shared" si="37"/>
        <v>13.202049673437019</v>
      </c>
      <c r="BG21" s="20">
        <f t="shared" si="7"/>
        <v>100.61868749558056</v>
      </c>
      <c r="BH21" s="59">
        <f t="shared" si="8"/>
        <v>393.95202082891387</v>
      </c>
      <c r="BI21" s="59">
        <f ca="1">AVERAGE(OFFSET($BH$3,0,0,'Données projet'!$E$11+1,1))-AVERAGE(OFFSET($H$3,0,0,'Données projet'!$E$11+1,1))</f>
        <v>215.23235148064941</v>
      </c>
      <c r="BJ21" s="59">
        <f t="shared" si="38"/>
        <v>184.07239726900434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</v>
      </c>
      <c r="BY21" s="12">
        <f>IF('Données projet'!$A$114&gt;35,BY20+BX21-CG20,IF(A21&lt;'Données projet'!$A$114,$BV$205^A21,IF(A21='Données projet'!$A$114,'Données projet'!$B$114,BY20+BX21-CG20)))</f>
        <v>28.901764726506816</v>
      </c>
      <c r="BZ21" s="13">
        <f>BY21*VLOOKUP('Données projet'!$B$12,Paramètres!$A$1:$I$89,3,0)*VLOOKUP('Données projet'!$B$12,Paramètres!$A$1:$I$89,5,0)</f>
        <v>31.109859551611933</v>
      </c>
      <c r="CA21" s="13">
        <f t="shared" si="39"/>
        <v>9.6089687778941872</v>
      </c>
      <c r="CB21" s="20">
        <f t="shared" si="10"/>
        <v>70.918626007223153</v>
      </c>
      <c r="CC21" s="59">
        <f t="shared" si="11"/>
        <v>364.25195934055648</v>
      </c>
      <c r="CD21" s="59">
        <f ca="1">AVERAGE(OFFSET($CC$3,0,0,'Données projet'!$E$12+1,1))-AVERAGE(OFFSET($H$3,0,0,'Données projet'!$E$12+1,1))</f>
        <v>303.1504619632214</v>
      </c>
      <c r="CE21" s="59">
        <f t="shared" si="40"/>
        <v>188.09929616366503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4.75</v>
      </c>
      <c r="CT21" s="12">
        <f>IF('Données projet'!$A$140&gt;35,CT20+CS21-DB20,IF(A21&lt;'Données projet'!$A$140,$CQ$205^A21,IF(A21='Données projet'!$A$140,'Données projet'!$B$140,CT20+CS21-DB20)))</f>
        <v>60.249194467085609</v>
      </c>
      <c r="CU21" s="17">
        <f>CT21*VLOOKUP('Données projet'!$B$13,Paramètres!$A$1:$I$89,3,0)*VLOOKUP('Données projet'!$B$13,Paramètres!$A$1:$I$89,5,0)</f>
        <v>40.415159648521026</v>
      </c>
      <c r="CV21" s="13">
        <f t="shared" si="41"/>
        <v>12.108618803280235</v>
      </c>
      <c r="CW21" s="20">
        <f t="shared" si="13"/>
        <v>91.478914136887184</v>
      </c>
      <c r="CX21" s="59">
        <f t="shared" si="14"/>
        <v>384.81224747022048</v>
      </c>
      <c r="CY21" s="59">
        <f ca="1">AVERAGE(OFFSET($CX$3,0,0,'Données projet'!$E$13+1,1))-AVERAGE(OFFSET($H$3,0,0,'Données projet'!$E$13+1,1))</f>
        <v>156.63226020379989</v>
      </c>
      <c r="CZ21" s="59">
        <f t="shared" si="42"/>
        <v>196.0481096619543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11.2</v>
      </c>
      <c r="DO21" s="12">
        <f>IF('Données projet'!$A$166&gt;35,DO20+DN21-DW20,IF(A21&lt;'Données projet'!$A$166,$DL$205^A21,IF(A21='Données projet'!$A$166,'Données projet'!$B$166,DO20+DN21-DW20)))</f>
        <v>147.59999999999997</v>
      </c>
      <c r="DP21" s="17">
        <f>DO21*VLOOKUP('Données projet'!$B$14,Paramètres!$A$1:$I$89,3,0)*VLOOKUP('Données projet'!$B$14,Paramètres!$A$1:$I$89,5,0)</f>
        <v>133.54847999999996</v>
      </c>
      <c r="DQ21" s="13">
        <f t="shared" si="43"/>
        <v>34.81501932379426</v>
      </c>
      <c r="DR21" s="20">
        <f t="shared" si="16"/>
        <v>293.23309465560823</v>
      </c>
      <c r="DS21" s="59">
        <f t="shared" si="17"/>
        <v>586.56642798894154</v>
      </c>
      <c r="DT21" s="59">
        <f ca="1">AVERAGE(OFFSET($DS$3,0,0,'Données projet'!$E$14+1,1))-AVERAGE(OFFSET($H$3,0,0,'Données projet'!$E$14+1,1))</f>
        <v>225.28075317732998</v>
      </c>
      <c r="DU21" s="59">
        <f t="shared" si="44"/>
        <v>358.43407531256207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5.0567975927148137</v>
      </c>
      <c r="EC21" s="21">
        <f>EXP(-LN(2)/2)*EC20+(1-EXP(-LN(2)/2))/(LN(2)/2)*DW21*DZ21*VLOOKUP('Données projet'!$B$14,Paramètres!$A$1:$I$89,3,0)*0.475*44/12</f>
        <v>2.6903656636675839</v>
      </c>
      <c r="ED21" s="22">
        <f t="shared" si="18"/>
        <v>7.7471632563823976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15</v>
      </c>
      <c r="EJ21" s="12">
        <f>IF('Données projet'!$A$192&gt;35,EJ20+EI21-ER20,IF(A21&lt;'Données projet'!$A$192,$EG$205^A21,IF(A21='Données projet'!$A$192,'Données projet'!$B$192,EJ20+EI21-ER20)))</f>
        <v>132</v>
      </c>
      <c r="EK21" s="17">
        <f>EJ21*VLOOKUP('Données projet'!$B$15,Paramètres!$A$1:$I$89,3,0)*VLOOKUP('Données projet'!$B$15,Paramètres!$A$1:$I$89,5,0)</f>
        <v>73.787999999999997</v>
      </c>
      <c r="EL21" s="13">
        <f t="shared" si="45"/>
        <v>20.611246816293939</v>
      </c>
      <c r="EM21" s="20">
        <f t="shared" si="19"/>
        <v>164.41202153837858</v>
      </c>
      <c r="EN21" s="59">
        <f t="shared" si="20"/>
        <v>457.74535487171192</v>
      </c>
      <c r="EO21" s="59">
        <f ca="1">AVERAGE(OFFSET($EN$3,0,0,'Données projet'!$E$15+1,1))-AVERAGE(OFFSET($H$3,0,0,'Données projet'!$E$15+1,1))</f>
        <v>326.31232746914907</v>
      </c>
      <c r="EP21" s="59">
        <f t="shared" si="46"/>
        <v>330.17137761430297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7.9</v>
      </c>
      <c r="FE21" s="12">
        <f>IF('Données projet'!$A$218&gt;35,FE20+FD21-FM20,IF(A21&lt;'Données projet'!$A$218,$FB$205^A21,IF(A21='Données projet'!$A$218,'Données projet'!$B$218,FE20+FD21-FM20)))</f>
        <v>95.233857990035276</v>
      </c>
      <c r="FF21" s="17">
        <f>FE21*VLOOKUP('Données projet'!$B$16,Paramètres!$A$1:$I$89,3,0)*VLOOKUP('Données projet'!$B$16,Paramètres!$A$1:$I$89,5,0)</f>
        <v>59.425927385782011</v>
      </c>
      <c r="FG21" s="13">
        <f t="shared" si="47"/>
        <v>17.023044331601881</v>
      </c>
      <c r="FH21" s="20">
        <f t="shared" si="22"/>
        <v>133.14862574111029</v>
      </c>
      <c r="FI21" s="59">
        <f t="shared" si="23"/>
        <v>426.48195907444358</v>
      </c>
      <c r="FJ21" s="59">
        <f ca="1">AVERAGE(OFFSET($FI$3,0,0,'Données projet'!$E$16+1,1))-AVERAGE(OFFSET($H$3,0,0,'Données projet'!$E$16+1,1))</f>
        <v>255.41017495879987</v>
      </c>
      <c r="FK21" s="59">
        <f t="shared" si="48"/>
        <v>297.50513563712764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6.1</v>
      </c>
      <c r="FZ21" s="12">
        <f>IF('Données projet'!$A$244&gt;35,FZ20+FY21-GH20,IF(A21&lt;'Données projet'!$A$244,$FW$205^A21,IF(A21='Données projet'!$A$244,'Données projet'!$B$244,FZ20+FY21-GH20)))</f>
        <v>75.461224403048902</v>
      </c>
      <c r="GA21" s="17">
        <f>FZ21*VLOOKUP('Données projet'!$B$17,Paramètres!$A$1:$I$89,3,0)*VLOOKUP('Données projet'!$B$17,Paramètres!$A$1:$I$89,5,0)</f>
        <v>45.125812193023251</v>
      </c>
      <c r="GB21" s="13">
        <f t="shared" si="49"/>
        <v>13.347564333818791</v>
      </c>
      <c r="GC21" s="20">
        <f t="shared" si="25"/>
        <v>101.8411307842499</v>
      </c>
      <c r="GD21" s="59">
        <f t="shared" si="26"/>
        <v>395.17446411758323</v>
      </c>
      <c r="GE21" s="59">
        <f ca="1">AVERAGE(OFFSET($GD$3,0,0,'Données projet'!$E$17+1,1))-AVERAGE(OFFSET($H$3,0,0,'Données projet'!$E$17+1,1))</f>
        <v>259.30247982593914</v>
      </c>
      <c r="GF21" s="59">
        <f t="shared" si="50"/>
        <v>275.24740346220779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4.75</v>
      </c>
      <c r="GU21" s="12">
        <f>IF('Données projet'!$A$270&gt;35,GU20+GT21-HC20,IF(A21&lt;'Données projet'!$A$270,$GR$205^A21,IF(A21='Données projet'!$A$270,'Données projet'!$B$270,GU20+GT21-HC20)))</f>
        <v>60.249194467085609</v>
      </c>
      <c r="GV21" s="17">
        <f>GU21*VLOOKUP('Données projet'!$B$18,Paramètres!$A$1:$I$89,3,0)*VLOOKUP('Données projet'!$B$18,Paramètres!$A$1:$I$89,5,0)</f>
        <v>47.934259118013308</v>
      </c>
      <c r="GW21" s="13">
        <f t="shared" si="51"/>
        <v>14.078970127192205</v>
      </c>
      <c r="GX21" s="20">
        <f t="shared" si="28"/>
        <v>108.00637426873294</v>
      </c>
      <c r="GY21" s="59">
        <f t="shared" si="29"/>
        <v>401.33970760206626</v>
      </c>
      <c r="GZ21" s="59">
        <f ca="1">AVERAGE(OFFSET($GY$3,0,0,'Données projet'!$E$18+1,1))-AVERAGE(OFFSET($H$3,0,0,'Données projet'!$E$18+1,1))</f>
        <v>199.58763537752952</v>
      </c>
      <c r="HA21" s="59">
        <f t="shared" si="52"/>
        <v>242.62852778451929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365.16965167242461</v>
      </c>
      <c r="S22" s="59">
        <f ca="1">AVERAGE(OFFSET($R$3,0,0,'Données projet'!$E$9+1,1))-AVERAGE(OFFSET($H$3,0,0,'Données projet'!$E$9+1,1))</f>
        <v>237.22177246688199</v>
      </c>
      <c r="T22" s="59">
        <f t="shared" si="34"/>
        <v>149.27472147904302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35.328466045936516</v>
      </c>
      <c r="AK22" s="13">
        <f t="shared" si="35"/>
        <v>10.751650073316766</v>
      </c>
      <c r="AL22" s="20">
        <f t="shared" si="4"/>
        <v>80.256202241032796</v>
      </c>
      <c r="AM22" s="59">
        <f t="shared" si="5"/>
        <v>373.5895355743661</v>
      </c>
      <c r="AN22" s="59">
        <f ca="1">AVERAGE(OFFSET($AM$3,0,0,'Données projet'!$E$10+1,1))-AVERAGE(OFFSET($H$3,0,0,'Données projet'!$E$10+1,1))</f>
        <v>279.20364724206644</v>
      </c>
      <c r="AO22" s="59">
        <f t="shared" si="36"/>
        <v>173.99850582760712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7.9</v>
      </c>
      <c r="BD22" s="12">
        <f>IF('Données projet'!$A$88&gt;35,BD21+BC22-BL21,IF(A22&lt;'Données projet'!$A$88,$BA$205^A22,IF(A22='Données projet'!$A$88,'Données projet'!$B$88,BD21+BC22-BL21)))</f>
        <v>122.66600817840934</v>
      </c>
      <c r="BE22" s="13">
        <f>BD22*VLOOKUP('Données projet'!$B$11,Paramètres!$A$1:$I$89,3,0)*VLOOKUP('Données projet'!$B$11,Paramètres!$A$1:$I$89,5,0)</f>
        <v>57.407691827495569</v>
      </c>
      <c r="BF22" s="13">
        <f t="shared" si="37"/>
        <v>16.511176981334152</v>
      </c>
      <c r="BG22" s="20">
        <f t="shared" si="7"/>
        <v>128.7420298420451</v>
      </c>
      <c r="BH22" s="59">
        <f t="shared" si="8"/>
        <v>422.07536317537841</v>
      </c>
      <c r="BI22" s="59">
        <f ca="1">AVERAGE(OFFSET($BH$3,0,0,'Données projet'!$E$11+1,1))-AVERAGE(OFFSET($H$3,0,0,'Données projet'!$E$11+1,1))</f>
        <v>215.23235148064941</v>
      </c>
      <c r="BJ22" s="59">
        <f t="shared" si="38"/>
        <v>184.07239726900434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</v>
      </c>
      <c r="BY22" s="12">
        <f>IF('Données projet'!$A$114&gt;35,BY21+BX22-CG21,IF(A22&lt;'Données projet'!$A$114,$BV$205^A22,IF(A22='Données projet'!$A$114,'Données projet'!$B$114,BY21+BX22-CG21)))</f>
        <v>34.840696297767764</v>
      </c>
      <c r="BZ22" s="13">
        <f>BY22*VLOOKUP('Données projet'!$B$12,Paramètres!$A$1:$I$89,3,0)*VLOOKUP('Données projet'!$B$12,Paramètres!$A$1:$I$89,5,0)</f>
        <v>37.502525494917215</v>
      </c>
      <c r="CA22" s="13">
        <f t="shared" si="39"/>
        <v>11.334227770598273</v>
      </c>
      <c r="CB22" s="20">
        <f t="shared" si="10"/>
        <v>85.057345270772814</v>
      </c>
      <c r="CC22" s="59">
        <f t="shared" si="11"/>
        <v>378.39067860410614</v>
      </c>
      <c r="CD22" s="59">
        <f ca="1">AVERAGE(OFFSET($CC$3,0,0,'Données projet'!$E$12+1,1))-AVERAGE(OFFSET($H$3,0,0,'Données projet'!$E$12+1,1))</f>
        <v>303.1504619632214</v>
      </c>
      <c r="CE22" s="59">
        <f t="shared" si="40"/>
        <v>188.09929616366503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4.75</v>
      </c>
      <c r="CT22" s="12">
        <f>IF('Données projet'!$A$140&gt;35,CT21+CS22-DB21,IF(A22&lt;'Données projet'!$A$140,$CQ$205^A22,IF(A22='Données projet'!$A$140,'Données projet'!$B$140,CT21+CS22-DB21)))</f>
        <v>75.65496331618381</v>
      </c>
      <c r="CU22" s="17">
        <f>CT22*VLOOKUP('Données projet'!$B$13,Paramètres!$A$1:$I$89,3,0)*VLOOKUP('Données projet'!$B$13,Paramètres!$A$1:$I$89,5,0)</f>
        <v>50.7493493924961</v>
      </c>
      <c r="CV22" s="13">
        <f t="shared" si="41"/>
        <v>14.807114547026517</v>
      </c>
      <c r="CW22" s="20">
        <f t="shared" si="13"/>
        <v>114.17750802800187</v>
      </c>
      <c r="CX22" s="59">
        <f t="shared" si="14"/>
        <v>407.51084136133517</v>
      </c>
      <c r="CY22" s="59">
        <f ca="1">AVERAGE(OFFSET($CX$3,0,0,'Données projet'!$E$13+1,1))-AVERAGE(OFFSET($H$3,0,0,'Données projet'!$E$13+1,1))</f>
        <v>156.63226020379989</v>
      </c>
      <c r="CZ22" s="59">
        <f t="shared" si="42"/>
        <v>196.0481096619543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11.2</v>
      </c>
      <c r="DO22" s="12">
        <f>IF('Données projet'!$A$166&gt;35,DO21+DN22-DW21,IF(A22&lt;'Données projet'!$A$166,$DL$205^A22,IF(A22='Données projet'!$A$166,'Données projet'!$B$166,DO21+DN22-DW21)))</f>
        <v>158.79999999999995</v>
      </c>
      <c r="DP22" s="17">
        <f>DO22*VLOOKUP('Données projet'!$B$14,Paramètres!$A$1:$I$89,3,0)*VLOOKUP('Données projet'!$B$14,Paramètres!$A$1:$I$89,5,0)</f>
        <v>143.68223999999995</v>
      </c>
      <c r="DQ22" s="13">
        <f t="shared" si="43"/>
        <v>37.139276165277678</v>
      </c>
      <c r="DR22" s="20">
        <f t="shared" si="16"/>
        <v>314.93080732119182</v>
      </c>
      <c r="DS22" s="59">
        <f t="shared" si="17"/>
        <v>608.26414065452514</v>
      </c>
      <c r="DT22" s="59">
        <f ca="1">AVERAGE(OFFSET($DS$3,0,0,'Données projet'!$E$14+1,1))-AVERAGE(OFFSET($H$3,0,0,'Données projet'!$E$14+1,1))</f>
        <v>225.28075317732998</v>
      </c>
      <c r="DU22" s="59">
        <f t="shared" si="44"/>
        <v>358.43407531256207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4.9185191966165993</v>
      </c>
      <c r="EC22" s="21">
        <f>EXP(-LN(2)/2)*EC21+(1-EXP(-LN(2)/2))/(LN(2)/2)*DW22*DZ22*VLOOKUP('Données projet'!$B$14,Paramètres!$A$1:$I$89,3,0)*0.475*44/12</f>
        <v>1.902375804650795</v>
      </c>
      <c r="ED22" s="22">
        <f t="shared" si="18"/>
        <v>6.8208950012673943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15</v>
      </c>
      <c r="EJ22" s="12">
        <f>IF('Données projet'!$A$192&gt;35,EJ21+EI22-ER21,IF(A22&lt;'Données projet'!$A$192,$EG$205^A22,IF(A22='Données projet'!$A$192,'Données projet'!$B$192,EJ21+EI22-ER21)))</f>
        <v>147</v>
      </c>
      <c r="EK22" s="17">
        <f>EJ22*VLOOKUP('Données projet'!$B$15,Paramètres!$A$1:$I$89,3,0)*VLOOKUP('Données projet'!$B$15,Paramètres!$A$1:$I$89,5,0)</f>
        <v>82.173000000000002</v>
      </c>
      <c r="EL22" s="13">
        <f t="shared" si="45"/>
        <v>22.667662370396656</v>
      </c>
      <c r="EM22" s="20">
        <f t="shared" si="19"/>
        <v>182.59748696177417</v>
      </c>
      <c r="EN22" s="59">
        <f t="shared" si="20"/>
        <v>475.93082029510748</v>
      </c>
      <c r="EO22" s="59">
        <f ca="1">AVERAGE(OFFSET($EN$3,0,0,'Données projet'!$E$15+1,1))-AVERAGE(OFFSET($H$3,0,0,'Données projet'!$E$15+1,1))</f>
        <v>326.31232746914907</v>
      </c>
      <c r="EP22" s="59">
        <f t="shared" si="46"/>
        <v>330.17137761430297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7.9</v>
      </c>
      <c r="FE22" s="12">
        <f>IF('Données projet'!$A$218&gt;35,FE21+FD22-FM21,IF(A22&lt;'Données projet'!$A$218,$FB$205^A22,IF(A22='Données projet'!$A$218,'Données projet'!$B$218,FE21+FD22-FM21)))</f>
        <v>122.66600817840934</v>
      </c>
      <c r="FF22" s="17">
        <f>FE22*VLOOKUP('Données projet'!$B$16,Paramètres!$A$1:$I$89,3,0)*VLOOKUP('Données projet'!$B$16,Paramètres!$A$1:$I$89,5,0)</f>
        <v>76.543589103327434</v>
      </c>
      <c r="FG22" s="13">
        <f t="shared" si="47"/>
        <v>21.289913662853376</v>
      </c>
      <c r="FH22" s="20">
        <f t="shared" si="22"/>
        <v>170.39335065109825</v>
      </c>
      <c r="FI22" s="59">
        <f t="shared" si="23"/>
        <v>463.72668398443159</v>
      </c>
      <c r="FJ22" s="59">
        <f ca="1">AVERAGE(OFFSET($FI$3,0,0,'Données projet'!$E$16+1,1))-AVERAGE(OFFSET($H$3,0,0,'Données projet'!$E$16+1,1))</f>
        <v>255.41017495879987</v>
      </c>
      <c r="FK22" s="59">
        <f t="shared" si="48"/>
        <v>297.50513563712764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6.1</v>
      </c>
      <c r="FZ22" s="12">
        <f>IF('Données projet'!$A$244&gt;35,FZ21+FY22-GH21,IF(A22&lt;'Données projet'!$A$244,$FW$205^A22,IF(A22='Données projet'!$A$244,'Données projet'!$B$244,FZ21+FY22-GH21)))</f>
        <v>95.949306288122685</v>
      </c>
      <c r="GA22" s="17">
        <f>FZ22*VLOOKUP('Données projet'!$B$17,Paramètres!$A$1:$I$89,3,0)*VLOOKUP('Données projet'!$B$17,Paramètres!$A$1:$I$89,5,0)</f>
        <v>57.377685160297375</v>
      </c>
      <c r="GB22" s="13">
        <f t="shared" si="49"/>
        <v>16.503551019461209</v>
      </c>
      <c r="GC22" s="20">
        <f t="shared" si="25"/>
        <v>128.67648634641287</v>
      </c>
      <c r="GD22" s="59">
        <f t="shared" si="26"/>
        <v>422.00981967974622</v>
      </c>
      <c r="GE22" s="59">
        <f ca="1">AVERAGE(OFFSET($GD$3,0,0,'Données projet'!$E$17+1,1))-AVERAGE(OFFSET($H$3,0,0,'Données projet'!$E$17+1,1))</f>
        <v>259.30247982593914</v>
      </c>
      <c r="GF22" s="59">
        <f t="shared" si="50"/>
        <v>275.24740346220779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4.75</v>
      </c>
      <c r="GU22" s="12">
        <f>IF('Données projet'!$A$270&gt;35,GU21+GT22-HC21,IF(A22&lt;'Données projet'!$A$270,$GR$205^A22,IF(A22='Données projet'!$A$270,'Données projet'!$B$270,GU21+GT22-HC21)))</f>
        <v>75.65496331618381</v>
      </c>
      <c r="GV22" s="17">
        <f>GU22*VLOOKUP('Données projet'!$B$18,Paramètres!$A$1:$I$89,3,0)*VLOOKUP('Données projet'!$B$18,Paramètres!$A$1:$I$89,5,0)</f>
        <v>60.191088814355844</v>
      </c>
      <c r="GW22" s="13">
        <f t="shared" si="51"/>
        <v>17.216573315614252</v>
      </c>
      <c r="GX22" s="20">
        <f t="shared" si="28"/>
        <v>134.81834487636456</v>
      </c>
      <c r="GY22" s="59">
        <f t="shared" si="29"/>
        <v>428.15167820969788</v>
      </c>
      <c r="GZ22" s="59">
        <f ca="1">AVERAGE(OFFSET($GY$3,0,0,'Données projet'!$E$18+1,1))-AVERAGE(OFFSET($H$3,0,0,'Données projet'!$E$18+1,1))</f>
        <v>199.58763537752952</v>
      </c>
      <c r="HA22" s="59">
        <f t="shared" si="52"/>
        <v>242.62852778451929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379.49184380384929</v>
      </c>
      <c r="S23" s="59">
        <f ca="1">AVERAGE(OFFSET($R$3,0,0,'Données projet'!$E$9+1,1))-AVERAGE(OFFSET($H$3,0,0,'Données projet'!$E$9+1,1))</f>
        <v>237.22177246688199</v>
      </c>
      <c r="T23" s="59">
        <f t="shared" si="34"/>
        <v>149.27472147904302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42.588000000000001</v>
      </c>
      <c r="AK23" s="13">
        <f t="shared" si="35"/>
        <v>12.682073764365764</v>
      </c>
      <c r="AL23" s="20">
        <f t="shared" si="4"/>
        <v>96.262045139603686</v>
      </c>
      <c r="AM23" s="59">
        <f t="shared" si="5"/>
        <v>389.595378472937</v>
      </c>
      <c r="AN23" s="59">
        <f ca="1">AVERAGE(OFFSET($AM$3,0,0,'Données projet'!$E$10+1,1))-AVERAGE(OFFSET($H$3,0,0,'Données projet'!$E$10+1,1))</f>
        <v>279.20364724206644</v>
      </c>
      <c r="AO23" s="59">
        <f t="shared" si="36"/>
        <v>173.99850582760712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158</v>
      </c>
      <c r="BB23" s="12">
        <f>VLOOKUP(A23,'Données projet'!$A$87:$I$107,9,0)</f>
        <v>7.9</v>
      </c>
      <c r="BC23" s="12">
        <f t="array" ref="BC23">INDEX(BB:BB,MIN(IF(ISNUMBER(BB23:BB219),ROW(BB23:BB219),"")))</f>
        <v>7.9</v>
      </c>
      <c r="BD23" s="12">
        <f>IF('Données projet'!$A$88&gt;35,BD22+BC23-BL22,IF(A23&lt;'Données projet'!$A$88,$BA$205^A23,IF(A23='Données projet'!$A$88,'Données projet'!$B$88,BD22+BC23-BL22)))</f>
        <v>158</v>
      </c>
      <c r="BE23" s="13">
        <f>BD23*VLOOKUP('Données projet'!$B$11,Paramètres!$A$1:$I$89,3,0)*VLOOKUP('Données projet'!$B$11,Paramètres!$A$1:$I$89,5,0)</f>
        <v>73.944000000000003</v>
      </c>
      <c r="BF23" s="13">
        <f t="shared" si="37"/>
        <v>20.649745460165708</v>
      </c>
      <c r="BG23" s="20">
        <f t="shared" si="7"/>
        <v>164.75077334312192</v>
      </c>
      <c r="BH23" s="59">
        <f t="shared" si="8"/>
        <v>458.08410667645524</v>
      </c>
      <c r="BI23" s="59">
        <f ca="1">AVERAGE(OFFSET($BH$3,0,0,'Données projet'!$E$11+1,1))-AVERAGE(OFFSET($H$3,0,0,'Données projet'!$E$11+1,1))</f>
        <v>215.23235148064941</v>
      </c>
      <c r="BJ23" s="59">
        <f t="shared" si="38"/>
        <v>184.07239726900434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12.5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2.1257077612234943</v>
      </c>
      <c r="BR23" s="21">
        <f>EXP(-LN(2)/2)*BR22+(1-EXP(-LN(2)/2))/(LN(2)/2)*BL23*BO23*VLOOKUP('Données projet'!$B$11,Paramètres!$A$1:$I$89,3,0)*0.475*44/12</f>
        <v>3.3117794702649124</v>
      </c>
      <c r="BS23" s="22">
        <f t="shared" si="9"/>
        <v>5.4374872314884062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42</v>
      </c>
      <c r="BW23" s="12">
        <f>VLOOKUP(A23,'Données projet'!$A$113:$I$133,9,0)</f>
        <v>2.1</v>
      </c>
      <c r="BX23" s="12">
        <f t="array" ref="BX23">INDEX(BW:BW,MIN(IF(ISNUMBER(BW23:BW219),ROW(BW23:BW219),"")))</f>
        <v>2.1</v>
      </c>
      <c r="BY23" s="12">
        <f>IF('Données projet'!$A$114&gt;35,BY22+BX23-CG22,IF(A23&lt;'Données projet'!$A$114,$BV$205^A23,IF(A23='Données projet'!$A$114,'Données projet'!$B$114,BY22+BX23-CG22)))</f>
        <v>42</v>
      </c>
      <c r="BZ23" s="13">
        <f>BY23*VLOOKUP('Données projet'!$B$12,Paramètres!$A$1:$I$89,3,0)*VLOOKUP('Données projet'!$B$12,Paramètres!$A$1:$I$89,5,0)</f>
        <v>45.208799999999997</v>
      </c>
      <c r="CA23" s="13">
        <f t="shared" si="39"/>
        <v>13.369251386406743</v>
      </c>
      <c r="CB23" s="20">
        <f t="shared" si="10"/>
        <v>102.02343949799173</v>
      </c>
      <c r="CC23" s="59">
        <f t="shared" si="11"/>
        <v>395.35677283132503</v>
      </c>
      <c r="CD23" s="59">
        <f ca="1">AVERAGE(OFFSET($CC$3,0,0,'Données projet'!$E$12+1,1))-AVERAGE(OFFSET($H$3,0,0,'Données projet'!$E$12+1,1))</f>
        <v>303.1504619632214</v>
      </c>
      <c r="CE23" s="59">
        <f t="shared" si="40"/>
        <v>188.09929616366503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95</v>
      </c>
      <c r="CR23" s="12">
        <f>VLOOKUP(A23,'Données projet'!$A$139:$I$159,9,0)</f>
        <v>4.75</v>
      </c>
      <c r="CS23" s="12">
        <f t="array" ref="CS23">INDEX(CR:CR,MIN(IF(ISNUMBER(CR23:CR219),ROW(CR23:CR219),"")))</f>
        <v>4.75</v>
      </c>
      <c r="CT23" s="12">
        <f>IF('Données projet'!$A$140&gt;35,CT22+CS23-DB22,IF(A23&lt;'Données projet'!$A$140,$CQ$205^A23,IF(A23='Données projet'!$A$140,'Données projet'!$B$140,CT22+CS23-DB22)))</f>
        <v>95</v>
      </c>
      <c r="CU23" s="17">
        <f>CT23*VLOOKUP('Données projet'!$B$13,Paramètres!$A$1:$I$89,3,0)*VLOOKUP('Données projet'!$B$13,Paramètres!$A$1:$I$89,5,0)</f>
        <v>63.726000000000006</v>
      </c>
      <c r="CV23" s="13">
        <f t="shared" si="41"/>
        <v>18.10699013411584</v>
      </c>
      <c r="CW23" s="20">
        <f t="shared" si="13"/>
        <v>142.52579115025176</v>
      </c>
      <c r="CX23" s="59">
        <f t="shared" si="14"/>
        <v>435.85912448358511</v>
      </c>
      <c r="CY23" s="59">
        <f ca="1">AVERAGE(OFFSET($CX$3,0,0,'Données projet'!$E$13+1,1))-AVERAGE(OFFSET($H$3,0,0,'Données projet'!$E$13+1,1))</f>
        <v>156.63226020379989</v>
      </c>
      <c r="CZ23" s="59">
        <f t="shared" si="42"/>
        <v>196.0481096619543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43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4.2083431005377525</v>
      </c>
      <c r="DH23" s="21">
        <f>EXP(-LN(2)/2)*DH22+(1-EXP(-LN(2)/2))/(LN(2)/2)*DB23*DE23*VLOOKUP('Données projet'!$B$13,Paramètres!$A$1:$I$89,3,0)*0.475*44/12</f>
        <v>6.8038669339109141</v>
      </c>
      <c r="DI23" s="22">
        <f t="shared" si="15"/>
        <v>11.012210034448668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170</v>
      </c>
      <c r="DM23" s="12">
        <f>VLOOKUP(A23,'Données projet'!$A$165:$I$185,9,0)</f>
        <v>11.2</v>
      </c>
      <c r="DN23" s="12">
        <f t="array" ref="DN23">INDEX(DM:DM,MIN(IF(ISNUMBER(DM23:DM219),ROW(DM23:DM219),"")))</f>
        <v>11.2</v>
      </c>
      <c r="DO23" s="12">
        <f>IF('Données projet'!$A$166&gt;35,DO22+DN23-DW22,IF(A23&lt;'Données projet'!$A$166,$DL$205^A23,IF(A23='Données projet'!$A$166,'Données projet'!$B$166,DO22+DN23-DW22)))</f>
        <v>169.99999999999994</v>
      </c>
      <c r="DP23" s="17">
        <f>DO23*VLOOKUP('Données projet'!$B$14,Paramètres!$A$1:$I$89,3,0)*VLOOKUP('Données projet'!$B$14,Paramètres!$A$1:$I$89,5,0)</f>
        <v>153.81599999999995</v>
      </c>
      <c r="DQ23" s="13">
        <f t="shared" si="43"/>
        <v>39.444513325737027</v>
      </c>
      <c r="DR23" s="20">
        <f t="shared" si="16"/>
        <v>336.59539404232521</v>
      </c>
      <c r="DS23" s="59">
        <f t="shared" si="17"/>
        <v>629.92872737565858</v>
      </c>
      <c r="DT23" s="59">
        <f ca="1">AVERAGE(OFFSET($DS$3,0,0,'Données projet'!$E$14+1,1))-AVERAGE(OFFSET($H$3,0,0,'Données projet'!$E$14+1,1))</f>
        <v>225.28075317732998</v>
      </c>
      <c r="DU23" s="59">
        <f t="shared" si="44"/>
        <v>358.43407531256207</v>
      </c>
      <c r="DV23" s="15">
        <f>IF(ISNA(VLOOKUP(A23,'Données projet'!$A$165:$I$185,3,0)),0,VLOOKUP(A23,'Données projet'!$A$165:$I$185,3,0))</f>
        <v>4</v>
      </c>
      <c r="DW23" s="15">
        <f>IF(ISNA(VLOOKUP(A23,'Données projet'!$A$165:$I$185,4,0)),0,VLOOKUP(A23,'Données projet'!$A$165:$I$185,4,0))</f>
        <v>20</v>
      </c>
      <c r="DX23" s="16">
        <f>IF(ISNA(VLOOKUP(A23,'Données projet'!$A$165:$I$185,5,0)),0%,VLOOKUP(A23,'Données projet'!$A$165:$I$185,5,0)*VLOOKUP('Données projet'!$B$14,Paramètres!$A$1:$I$89,7,0))</f>
        <v>0.03</v>
      </c>
      <c r="DY23" s="16">
        <f>IF(ISNA(VLOOKUP(A23,'Données projet'!$A$165:$I$185,6,0)),0%,VLOOKUP(A23,'Données projet'!$A$165:$I$185,6,0)*VLOOKUP('Données projet'!$B$14,Paramètres!$A$1:$I$89,7,0))</f>
        <v>0.13500000000000001</v>
      </c>
      <c r="DZ23" s="16">
        <f>IF(ISNA(VLOOKUP(A23,'Données projet'!$A$165:$I$185,7,0)),0%,VLOOKUP(A23,'Données projet'!$A$165:$I$185,7,0))</f>
        <v>0.45</v>
      </c>
      <c r="EA23" s="21">
        <f>EXP(-LN(2)/35)*EA22+(1-EXP(-LN(2)/35))/(LN(2)/35)*DW23*DX23*VLOOKUP('Données projet'!$B$14,Paramètres!$A$1:$I$89,3,0)*0.475*44/12</f>
        <v>0.60013775964084792</v>
      </c>
      <c r="EB23" s="21">
        <f>EXP(-LN(2)/25)*EB22+(1-EXP(-LN(2)/25))/(LN(2)/25)*Calculateur!DW23*Calculateur!DY23*VLOOKUP('Données projet'!$B$14,Paramètres!$A$1:$I$89,3,0)*0.475*44/12</f>
        <v>7.4740085792797117</v>
      </c>
      <c r="EC23" s="21">
        <f>EXP(-LN(2)/2)*EC22+(1-EXP(-LN(2)/2))/(LN(2)/2)*DW23*DZ23*VLOOKUP('Données projet'!$B$14,Paramètres!$A$1:$I$89,3,0)*0.475*44/12</f>
        <v>9.0285112028483887</v>
      </c>
      <c r="ED23" s="22">
        <f t="shared" si="18"/>
        <v>17.102657541768949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162</v>
      </c>
      <c r="EH23" s="12">
        <f>VLOOKUP(A23,'Données projet'!$A$191:$I$211,9,0)</f>
        <v>15</v>
      </c>
      <c r="EI23" s="12">
        <f t="array" ref="EI23">INDEX(EH:EH,MIN(IF(ISNUMBER(EH23:EH219),ROW(EH23:EH219),"")))</f>
        <v>15</v>
      </c>
      <c r="EJ23" s="12">
        <f>IF('Données projet'!$A$192&gt;35,EJ22+EI23-ER22,IF(A23&lt;'Données projet'!$A$192,$EG$205^A23,IF(A23='Données projet'!$A$192,'Données projet'!$B$192,EJ22+EI23-ER22)))</f>
        <v>162</v>
      </c>
      <c r="EK23" s="17">
        <f>EJ23*VLOOKUP('Données projet'!$B$15,Paramètres!$A$1:$I$89,3,0)*VLOOKUP('Données projet'!$B$15,Paramètres!$A$1:$I$89,5,0)</f>
        <v>90.557999999999993</v>
      </c>
      <c r="EL23" s="13">
        <f t="shared" si="45"/>
        <v>24.699752708509138</v>
      </c>
      <c r="EM23" s="20">
        <f t="shared" si="19"/>
        <v>200.74058596732007</v>
      </c>
      <c r="EN23" s="59">
        <f t="shared" si="20"/>
        <v>494.07391930065342</v>
      </c>
      <c r="EO23" s="59">
        <f ca="1">AVERAGE(OFFSET($EN$3,0,0,'Données projet'!$E$15+1,1))-AVERAGE(OFFSET($H$3,0,0,'Données projet'!$E$15+1,1))</f>
        <v>326.31232746914907</v>
      </c>
      <c r="EP23" s="59">
        <f t="shared" si="46"/>
        <v>330.17137761430297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63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0.27500000000000002</v>
      </c>
      <c r="EU23" s="16">
        <f>IF(ISNA(VLOOKUP(A23,'Données projet'!$A$191:$I$211,7,0)),0%,VLOOKUP(A23,'Données projet'!$A$191:$I$211,7,0))</f>
        <v>0.5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12.796760722565436</v>
      </c>
      <c r="EX23" s="21">
        <f>EXP(-LN(2)/2)*EX22+(1-EXP(-LN(2)/2))/(LN(2)/2)*ER23*EU23*VLOOKUP('Données projet'!$B$15,Paramètres!$A$1:$I$89,3,0)*0.475*44/12</f>
        <v>19.936912410994776</v>
      </c>
      <c r="EY23" s="22">
        <f t="shared" si="21"/>
        <v>32.73367313356021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158</v>
      </c>
      <c r="FC23" s="12">
        <f>VLOOKUP(A23,'Données projet'!$A$217:$I$237,9,0)</f>
        <v>7.9</v>
      </c>
      <c r="FD23" s="12">
        <f t="array" ref="FD23">INDEX(FC:FC,MIN(IF(ISNUMBER(FC23:FC219),ROW(FC23:FC219),"")))</f>
        <v>7.9</v>
      </c>
      <c r="FE23" s="12">
        <f>IF('Données projet'!$A$218&gt;35,FE22+FD23-FM22,IF(A23&lt;'Données projet'!$A$218,$FB$205^A23,IF(A23='Données projet'!$A$218,'Données projet'!$B$218,FE22+FD23-FM22)))</f>
        <v>158</v>
      </c>
      <c r="FF23" s="17">
        <f>FE23*VLOOKUP('Données projet'!$B$16,Paramètres!$A$1:$I$89,3,0)*VLOOKUP('Données projet'!$B$16,Paramètres!$A$1:$I$89,5,0)</f>
        <v>98.592000000000013</v>
      </c>
      <c r="FG23" s="13">
        <f t="shared" si="47"/>
        <v>26.626284637602105</v>
      </c>
      <c r="FH23" s="20">
        <f t="shared" si="22"/>
        <v>218.08851241049035</v>
      </c>
      <c r="FI23" s="59">
        <f t="shared" si="23"/>
        <v>511.42184574382367</v>
      </c>
      <c r="FJ23" s="59">
        <f ca="1">AVERAGE(OFFSET($FI$3,0,0,'Données projet'!$E$16+1,1))-AVERAGE(OFFSET($H$3,0,0,'Données projet'!$E$16+1,1))</f>
        <v>255.41017495879987</v>
      </c>
      <c r="FK23" s="59">
        <f t="shared" si="48"/>
        <v>297.50513563712764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60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0.3</v>
      </c>
      <c r="FP23" s="16">
        <f>IF(ISNA(VLOOKUP(A23,'Données projet'!$A$217:$I$237,7,0)),0%,VLOOKUP(A23,'Données projet'!$A$217:$I$237,7,0))</f>
        <v>0.5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14.841305096542214</v>
      </c>
      <c r="FS23" s="21">
        <f>EXP(-LN(2)/2)*FS22+(1-EXP(-LN(2)/2))/(LN(2)/2)*FM23*FP23*VLOOKUP('Données projet'!$B$16,Paramètres!$A$1:$I$89,3,0)*0.475*44/12</f>
        <v>21.195388609695438</v>
      </c>
      <c r="FT23" s="22">
        <f t="shared" si="24"/>
        <v>36.036693706237656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122</v>
      </c>
      <c r="FX23" s="12">
        <f>VLOOKUP(A23,'Données projet'!$A$243:$I$263,9,0)</f>
        <v>6.1</v>
      </c>
      <c r="FY23" s="12">
        <f t="array" ref="FY23">INDEX(FX:FX,MIN(IF(ISNUMBER(FX23:FX219),ROW(FX23:FX219),"")))</f>
        <v>6.1</v>
      </c>
      <c r="FZ23" s="12">
        <f>IF('Données projet'!$A$244&gt;35,FZ22+FY23-GH22,IF(A23&lt;'Données projet'!$A$244,$FW$205^A23,IF(A23='Données projet'!$A$244,'Données projet'!$B$244,FZ22+FY23-GH22)))</f>
        <v>122</v>
      </c>
      <c r="GA23" s="17">
        <f>FZ23*VLOOKUP('Données projet'!$B$17,Paramètres!$A$1:$I$89,3,0)*VLOOKUP('Données projet'!$B$17,Paramètres!$A$1:$I$89,5,0)</f>
        <v>72.956000000000003</v>
      </c>
      <c r="GB23" s="13">
        <f t="shared" si="49"/>
        <v>20.405760140212273</v>
      </c>
      <c r="GC23" s="20">
        <f t="shared" si="25"/>
        <v>162.60506557753638</v>
      </c>
      <c r="GD23" s="59">
        <f t="shared" si="26"/>
        <v>455.93839891086969</v>
      </c>
      <c r="GE23" s="59">
        <f ca="1">AVERAGE(OFFSET($GD$3,0,0,'Données projet'!$E$17+1,1))-AVERAGE(OFFSET($H$3,0,0,'Données projet'!$E$17+1,1))</f>
        <v>259.30247982593914</v>
      </c>
      <c r="GF23" s="59">
        <f t="shared" si="50"/>
        <v>275.24740346220779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23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0.22500000000000001</v>
      </c>
      <c r="GK23" s="16">
        <f>IF(ISNA(VLOOKUP(A23,'Données projet'!$A$243:$I$263,7,0)),0%,VLOOKUP(A23,'Données projet'!$A$243:$I$263,7,0))</f>
        <v>0.5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4.089088747953558</v>
      </c>
      <c r="GN23" s="21">
        <f>EXP(-LN(2)/2)*GN22+(1-EXP(-LN(2)/2))/(LN(2)/2)*GH23*GK23*VLOOKUP('Données projet'!$B$17,Paramètres!$A$1:$I$89,3,0)*0.475*44/12</f>
        <v>7.7863615100895052</v>
      </c>
      <c r="GO23" s="21">
        <f t="shared" si="27"/>
        <v>11.875450258043063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>
        <f>VLOOKUP(A23,'Données projet'!$A$269:$I$289,2,0)</f>
        <v>95</v>
      </c>
      <c r="GS23" s="12">
        <f>VLOOKUP(A23,'Données projet'!$A$269:$I$289,9,0)</f>
        <v>4.75</v>
      </c>
      <c r="GT23" s="12">
        <f t="array" ref="GT23">INDEX(GS:GS,MIN(IF(ISNUMBER(GS23:GS219),ROW(GS23:GS219),"")))</f>
        <v>4.75</v>
      </c>
      <c r="GU23" s="12">
        <f>IF('Données projet'!$A$270&gt;35,GU22+GT23-HC22,IF(A23&lt;'Données projet'!$A$270,$GR$205^A23,IF(A23='Données projet'!$A$270,'Données projet'!$B$270,GU22+GT23-HC22)))</f>
        <v>95</v>
      </c>
      <c r="GV23" s="17">
        <f>GU23*VLOOKUP('Données projet'!$B$18,Paramètres!$A$1:$I$89,3,0)*VLOOKUP('Données projet'!$B$18,Paramètres!$A$1:$I$89,5,0)</f>
        <v>75.582000000000008</v>
      </c>
      <c r="GW23" s="13">
        <f t="shared" si="51"/>
        <v>21.053414706764137</v>
      </c>
      <c r="GX23" s="20">
        <f t="shared" si="28"/>
        <v>168.30668061428091</v>
      </c>
      <c r="GY23" s="59">
        <f t="shared" si="29"/>
        <v>461.64001394761419</v>
      </c>
      <c r="GZ23" s="59">
        <f ca="1">AVERAGE(OFFSET($GY$3,0,0,'Données projet'!$E$18+1,1))-AVERAGE(OFFSET($H$3,0,0,'Données projet'!$E$18+1,1))</f>
        <v>199.58763537752952</v>
      </c>
      <c r="HA23" s="59">
        <f t="shared" si="52"/>
        <v>242.62852778451929</v>
      </c>
      <c r="HB23" s="15">
        <f>IF(ISNA(VLOOKUP(A23,'Données projet'!$A$269:$I$289,3,0)),0,VLOOKUP(A23,'Données projet'!$A$269:$I$289,3,0))</f>
        <v>1</v>
      </c>
      <c r="HC23" s="15">
        <f>IF(ISNA(VLOOKUP(A23,'Données projet'!$A$269:$I$289,4,0)),0,VLOOKUP(A23,'Données projet'!$A$269:$I$289,4,0))</f>
        <v>43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0.13250000000000001</v>
      </c>
      <c r="HF23" s="16">
        <f>IF(ISNA(VLOOKUP(A23,'Données projet'!$A$269:$I$289,7,0)),0%,VLOOKUP(A23,'Données projet'!$A$269:$I$289,7,0))</f>
        <v>0.25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4.9912906541261721</v>
      </c>
      <c r="HI23" s="21">
        <f>EXP(-LN(2)/2)*HI22+(1-EXP(-LN(2)/2))/(LN(2)/2)*HC23*HF23*VLOOKUP('Données projet'!$B$18,Paramètres!$A$1:$I$89,3,0)*0.475*44/12</f>
        <v>8.0697026425455061</v>
      </c>
      <c r="HJ23" s="22">
        <f t="shared" si="30"/>
        <v>13.060993296671679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6.3</v>
      </c>
      <c r="N24" s="13">
        <f>IF('Données projet'!$A$36&gt;35,N23+M24-V23,IF(A24&lt;'Données projet'!$A$36,$K$205^A24,IF(A24='Données projet'!$A$36,'Données projet'!$B$36,N23+M24-V23)))</f>
        <v>48.3</v>
      </c>
      <c r="O24" s="13">
        <f>N24*VLOOKUP('Données projet'!$B$9,Paramètres!$A$1:$I$89,3,0)*VLOOKUP('Données projet'!$B$9,Paramètres!$A$1:$I$89,5,0)</f>
        <v>43.701839999999997</v>
      </c>
      <c r="P24" s="13">
        <f t="shared" si="33"/>
        <v>12.974708810432297</v>
      </c>
      <c r="Q24" s="20">
        <f t="shared" si="2"/>
        <v>98.711655844836244</v>
      </c>
      <c r="R24" s="59">
        <f t="shared" si="0"/>
        <v>392.04498917816954</v>
      </c>
      <c r="S24" s="59">
        <f ca="1">AVERAGE(OFFSET($R$3,0,0,'Données projet'!$E$9+1,1))-AVERAGE(OFFSET($H$3,0,0,'Données projet'!$E$9+1,1))</f>
        <v>237.22177246688199</v>
      </c>
      <c r="T24" s="59">
        <f t="shared" si="34"/>
        <v>149.27472147904302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6.3</v>
      </c>
      <c r="AI24" s="13">
        <f>IF('Données projet'!$A$62&gt;35,AI23+AH24-AQ23,IF(A24&lt;'Données projet'!$A$62,$AF$205^A24,IF(A24='Données projet'!$A$62,'Données projet'!$B$62,AI23+AH24-AQ23)))</f>
        <v>48.3</v>
      </c>
      <c r="AJ24" s="13">
        <f>AI24*VLOOKUP('Données projet'!$B$10,Paramètres!$A$1:$I$89,3,0)*VLOOKUP('Données projet'!$B$10,Paramètres!$A$1:$I$89,5,0)</f>
        <v>48.976199999999999</v>
      </c>
      <c r="AK24" s="13">
        <f t="shared" si="35"/>
        <v>14.349041334347479</v>
      </c>
      <c r="AL24" s="20">
        <f t="shared" si="4"/>
        <v>110.29146199065519</v>
      </c>
      <c r="AM24" s="59">
        <f t="shared" si="5"/>
        <v>403.62479532398851</v>
      </c>
      <c r="AN24" s="59">
        <f ca="1">AVERAGE(OFFSET($AM$3,0,0,'Données projet'!$E$10+1,1))-AVERAGE(OFFSET($H$3,0,0,'Données projet'!$E$10+1,1))</f>
        <v>279.20364724206644</v>
      </c>
      <c r="AO24" s="59">
        <f t="shared" si="36"/>
        <v>173.99850582760712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9.1999999999999993</v>
      </c>
      <c r="BD24" s="12">
        <f>IF('Données projet'!$A$88&gt;35,BD23+BC24-BL23,IF(A24&lt;'Données projet'!$A$88,$BA$205^A24,IF(A24='Données projet'!$A$88,'Données projet'!$B$88,BD23+BC24-BL23)))</f>
        <v>154.69999999999999</v>
      </c>
      <c r="BE24" s="13">
        <f>BD24*VLOOKUP('Données projet'!$B$11,Paramètres!$A$1:$I$89,3,0)*VLOOKUP('Données projet'!$B$11,Paramètres!$A$1:$I$89,5,0)</f>
        <v>72.399599999999992</v>
      </c>
      <c r="BF24" s="13">
        <f t="shared" si="37"/>
        <v>20.268188832715463</v>
      </c>
      <c r="BG24" s="20">
        <f t="shared" si="7"/>
        <v>161.3963988836461</v>
      </c>
      <c r="BH24" s="59">
        <f t="shared" si="8"/>
        <v>454.72973221697941</v>
      </c>
      <c r="BI24" s="59">
        <f ca="1">AVERAGE(OFFSET($BH$3,0,0,'Données projet'!$E$11+1,1))-AVERAGE(OFFSET($H$3,0,0,'Données projet'!$E$11+1,1))</f>
        <v>215.23235148064941</v>
      </c>
      <c r="BJ24" s="59">
        <f t="shared" si="38"/>
        <v>184.07239726900434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2.0675801707067252</v>
      </c>
      <c r="BR24" s="21">
        <f>EXP(-LN(2)/2)*BR23+(1-EXP(-LN(2)/2))/(LN(2)/2)*BL24*BO24*VLOOKUP('Données projet'!$B$11,Paramètres!$A$1:$I$89,3,0)*0.475*44/12</f>
        <v>2.341781721218712</v>
      </c>
      <c r="BS24" s="22">
        <f t="shared" si="9"/>
        <v>4.4093618919254371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6.3</v>
      </c>
      <c r="BY24" s="12">
        <f>IF('Données projet'!$A$114&gt;35,BY23+BX24-CG23,IF(A24&lt;'Données projet'!$A$114,$BV$205^A24,IF(A24='Données projet'!$A$114,'Données projet'!$B$114,BY23+BX24-CG23)))</f>
        <v>48.3</v>
      </c>
      <c r="BZ24" s="13">
        <f>BY24*VLOOKUP('Données projet'!$B$12,Paramètres!$A$1:$I$89,3,0)*VLOOKUP('Données projet'!$B$12,Paramètres!$A$1:$I$89,5,0)</f>
        <v>51.990119999999997</v>
      </c>
      <c r="CA24" s="13">
        <f t="shared" si="39"/>
        <v>15.126543522547198</v>
      </c>
      <c r="CB24" s="20">
        <f t="shared" si="10"/>
        <v>116.89485563510304</v>
      </c>
      <c r="CC24" s="59">
        <f t="shared" si="11"/>
        <v>410.22818896843637</v>
      </c>
      <c r="CD24" s="59">
        <f ca="1">AVERAGE(OFFSET($CC$3,0,0,'Données projet'!$E$12+1,1))-AVERAGE(OFFSET($H$3,0,0,'Données projet'!$E$12+1,1))</f>
        <v>303.1504619632214</v>
      </c>
      <c r="CE24" s="59">
        <f t="shared" si="40"/>
        <v>188.09929616366503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12.2</v>
      </c>
      <c r="CT24" s="12">
        <f>IF('Données projet'!$A$140&gt;35,CT23+CS24-DB23,IF(A24&lt;'Données projet'!$A$140,$CQ$205^A24,IF(A24='Données projet'!$A$140,'Données projet'!$B$140,CT23+CS24-DB23)))</f>
        <v>64.2</v>
      </c>
      <c r="CU24" s="17">
        <f>CT24*VLOOKUP('Données projet'!$B$13,Paramètres!$A$1:$I$89,3,0)*VLOOKUP('Données projet'!$B$13,Paramètres!$A$1:$I$89,5,0)</f>
        <v>43.065360000000005</v>
      </c>
      <c r="CV24" s="13">
        <f t="shared" si="41"/>
        <v>12.807596539380496</v>
      </c>
      <c r="CW24" s="20">
        <f t="shared" si="13"/>
        <v>97.312065972754382</v>
      </c>
      <c r="CX24" s="59">
        <f t="shared" si="14"/>
        <v>390.64539930608771</v>
      </c>
      <c r="CY24" s="59">
        <f ca="1">AVERAGE(OFFSET($CX$3,0,0,'Données projet'!$E$13+1,1))-AVERAGE(OFFSET($H$3,0,0,'Données projet'!$E$13+1,1))</f>
        <v>156.63226020379989</v>
      </c>
      <c r="CZ24" s="59">
        <f t="shared" si="42"/>
        <v>196.0481096619543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4.0932657371464023</v>
      </c>
      <c r="DH24" s="21">
        <f>EXP(-LN(2)/2)*DH23+(1-EXP(-LN(2)/2))/(LN(2)/2)*DB24*DE24*VLOOKUP('Données projet'!$B$13,Paramètres!$A$1:$I$89,3,0)*0.475*44/12</f>
        <v>4.8110604472593312</v>
      </c>
      <c r="DI24" s="22">
        <f t="shared" si="15"/>
        <v>8.9043261844057326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8.6</v>
      </c>
      <c r="DO24" s="12">
        <f>IF('Données projet'!$A$166&gt;35,DO23+DN24-DW23,IF(A24&lt;'Données projet'!$A$166,$DL$205^A24,IF(A24='Données projet'!$A$166,'Données projet'!$B$166,DO23+DN24-DW23)))</f>
        <v>158.59999999999994</v>
      </c>
      <c r="DP24" s="17">
        <f>DO24*VLOOKUP('Données projet'!$B$14,Paramètres!$A$1:$I$89,3,0)*VLOOKUP('Données projet'!$B$14,Paramètres!$A$1:$I$89,5,0)</f>
        <v>143.50127999999995</v>
      </c>
      <c r="DQ24" s="13">
        <f t="shared" si="43"/>
        <v>37.097942826522399</v>
      </c>
      <c r="DR24" s="20">
        <f t="shared" si="16"/>
        <v>314.54364642285981</v>
      </c>
      <c r="DS24" s="59">
        <f t="shared" si="17"/>
        <v>607.87697975619312</v>
      </c>
      <c r="DT24" s="59">
        <f ca="1">AVERAGE(OFFSET($DS$3,0,0,'Données projet'!$E$14+1,1))-AVERAGE(OFFSET($H$3,0,0,'Données projet'!$E$14+1,1))</f>
        <v>225.28075317732998</v>
      </c>
      <c r="DU24" s="59">
        <f t="shared" si="44"/>
        <v>358.43407531256207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0.58836942422218008</v>
      </c>
      <c r="EB24" s="21">
        <f>EXP(-LN(2)/25)*EB23+(1-EXP(-LN(2)/25))/(LN(2)/25)*Calculateur!DW24*Calculateur!DY24*VLOOKUP('Données projet'!$B$14,Paramètres!$A$1:$I$89,3,0)*0.475*44/12</f>
        <v>7.2696314216382794</v>
      </c>
      <c r="EC24" s="21">
        <f>EXP(-LN(2)/2)*EC23+(1-EXP(-LN(2)/2))/(LN(2)/2)*DW24*DZ24*VLOOKUP('Données projet'!$B$14,Paramètres!$A$1:$I$89,3,0)*0.475*44/12</f>
        <v>6.3841214955528089</v>
      </c>
      <c r="ED24" s="22">
        <f t="shared" si="18"/>
        <v>14.242122341413268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22.2</v>
      </c>
      <c r="EJ24" s="12">
        <f>IF('Données projet'!$A$192&gt;35,EJ23+EI24-ER23,IF(A24&lt;'Données projet'!$A$192,$EG$205^A24,IF(A24='Données projet'!$A$192,'Données projet'!$B$192,EJ23+EI24-ER23)))</f>
        <v>121.19999999999999</v>
      </c>
      <c r="EK24" s="17">
        <f>EJ24*VLOOKUP('Données projet'!$B$15,Paramètres!$A$1:$I$89,3,0)*VLOOKUP('Données projet'!$B$15,Paramètres!$A$1:$I$89,5,0)</f>
        <v>67.750799999999998</v>
      </c>
      <c r="EL24" s="13">
        <f t="shared" si="45"/>
        <v>19.113844706860473</v>
      </c>
      <c r="EM24" s="20">
        <f t="shared" si="19"/>
        <v>151.28925619778201</v>
      </c>
      <c r="EN24" s="59">
        <f t="shared" si="20"/>
        <v>444.6225895311153</v>
      </c>
      <c r="EO24" s="59">
        <f ca="1">AVERAGE(OFFSET($EN$3,0,0,'Données projet'!$E$15+1,1))-AVERAGE(OFFSET($H$3,0,0,'Données projet'!$E$15+1,1))</f>
        <v>326.31232746914907</v>
      </c>
      <c r="EP24" s="59">
        <f t="shared" si="46"/>
        <v>330.17137761430297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12.446832627654485</v>
      </c>
      <c r="EX24" s="21">
        <f>EXP(-LN(2)/2)*EX23+(1-EXP(-LN(2)/2))/(LN(2)/2)*ER24*EU24*VLOOKUP('Données projet'!$B$15,Paramètres!$A$1:$I$89,3,0)*0.475*44/12</f>
        <v>14.097525961736647</v>
      </c>
      <c r="EY24" s="22">
        <f t="shared" si="21"/>
        <v>26.54435858939113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16.5</v>
      </c>
      <c r="FE24" s="12">
        <f>IF('Données projet'!$A$218&gt;35,FE23+FD24-FM23,IF(A24&lt;'Données projet'!$A$218,$FB$205^A24,IF(A24='Données projet'!$A$218,'Données projet'!$B$218,FE23+FD24-FM23)))</f>
        <v>114.5</v>
      </c>
      <c r="FF24" s="17">
        <f>FE24*VLOOKUP('Données projet'!$B$16,Paramètres!$A$1:$I$89,3,0)*VLOOKUP('Données projet'!$B$16,Paramètres!$A$1:$I$89,5,0)</f>
        <v>71.448000000000008</v>
      </c>
      <c r="FG24" s="13">
        <f t="shared" si="47"/>
        <v>20.03261738899662</v>
      </c>
      <c r="FH24" s="20">
        <f t="shared" si="22"/>
        <v>159.32874195250244</v>
      </c>
      <c r="FI24" s="59">
        <f t="shared" si="23"/>
        <v>452.66207528583573</v>
      </c>
      <c r="FJ24" s="59">
        <f ca="1">AVERAGE(OFFSET($FI$3,0,0,'Données projet'!$E$16+1,1))-AVERAGE(OFFSET($H$3,0,0,'Données projet'!$E$16+1,1))</f>
        <v>255.41017495879987</v>
      </c>
      <c r="FK24" s="59">
        <f t="shared" si="48"/>
        <v>297.50513563712764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14.435468828206952</v>
      </c>
      <c r="FS24" s="21">
        <f>EXP(-LN(2)/2)*FS23+(1-EXP(-LN(2)/2))/(LN(2)/2)*FM24*FP24*VLOOKUP('Données projet'!$B$16,Paramètres!$A$1:$I$89,3,0)*0.475*44/12</f>
        <v>14.987403015799755</v>
      </c>
      <c r="FT24" s="22">
        <f t="shared" si="24"/>
        <v>29.422871844006707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15.8</v>
      </c>
      <c r="FZ24" s="12">
        <f>IF('Données projet'!$A$244&gt;35,FZ23+FY24-GH23,IF(A24&lt;'Données projet'!$A$244,$FW$205^A24,IF(A24='Données projet'!$A$244,'Données projet'!$B$244,FZ23+FY24-GH23)))</f>
        <v>114.80000000000001</v>
      </c>
      <c r="GA24" s="17">
        <f>FZ24*VLOOKUP('Données projet'!$B$17,Paramètres!$A$1:$I$89,3,0)*VLOOKUP('Données projet'!$B$17,Paramètres!$A$1:$I$89,5,0)</f>
        <v>68.650400000000005</v>
      </c>
      <c r="GB24" s="13">
        <f t="shared" si="49"/>
        <v>19.337925525289805</v>
      </c>
      <c r="GC24" s="20">
        <f t="shared" si="25"/>
        <v>153.24633362321308</v>
      </c>
      <c r="GD24" s="59">
        <f t="shared" si="26"/>
        <v>446.57966695654636</v>
      </c>
      <c r="GE24" s="59">
        <f ca="1">AVERAGE(OFFSET($GD$3,0,0,'Données projet'!$E$17+1,1))-AVERAGE(OFFSET($H$3,0,0,'Données projet'!$E$17+1,1))</f>
        <v>259.30247982593914</v>
      </c>
      <c r="GF24" s="59">
        <f t="shared" si="50"/>
        <v>275.24740346220779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3.9772724011049365</v>
      </c>
      <c r="GN24" s="21">
        <f>EXP(-LN(2)/2)*GN23+(1-EXP(-LN(2)/2))/(LN(2)/2)*GH24*GK24*VLOOKUP('Données projet'!$B$17,Paramètres!$A$1:$I$89,3,0)*0.475*44/12</f>
        <v>5.5057890245542156</v>
      </c>
      <c r="GO24" s="21">
        <f t="shared" si="27"/>
        <v>9.4830614256591517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12.2</v>
      </c>
      <c r="GU24" s="12">
        <f>IF('Données projet'!$A$270&gt;35,GU23+GT24-HC23,IF(A24&lt;'Données projet'!$A$270,$GR$205^A24,IF(A24='Données projet'!$A$270,'Données projet'!$B$270,GU23+GT24-HC23)))</f>
        <v>64.2</v>
      </c>
      <c r="GV24" s="17">
        <f>GU24*VLOOKUP('Données projet'!$B$18,Paramètres!$A$1:$I$89,3,0)*VLOOKUP('Données projet'!$B$18,Paramètres!$A$1:$I$89,5,0)</f>
        <v>51.077520000000007</v>
      </c>
      <c r="GW24" s="13">
        <f t="shared" si="51"/>
        <v>14.891687648984377</v>
      </c>
      <c r="GX24" s="20">
        <f t="shared" si="28"/>
        <v>114.89636998864779</v>
      </c>
      <c r="GY24" s="59">
        <f t="shared" si="29"/>
        <v>408.22970332198111</v>
      </c>
      <c r="GZ24" s="59">
        <f ca="1">AVERAGE(OFFSET($GY$3,0,0,'Données projet'!$E$18+1,1))-AVERAGE(OFFSET($H$3,0,0,'Données projet'!$E$18+1,1))</f>
        <v>199.58763537752952</v>
      </c>
      <c r="HA24" s="59">
        <f t="shared" si="52"/>
        <v>242.62852778451929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4.8548035487085244</v>
      </c>
      <c r="HI24" s="21">
        <f>EXP(-LN(2)/2)*HI23+(1-EXP(-LN(2)/2))/(LN(2)/2)*HC24*HF24*VLOOKUP('Données projet'!$B$18,Paramètres!$A$1:$I$89,3,0)*0.475*44/12</f>
        <v>5.7061414607029297</v>
      </c>
      <c r="HJ24" s="22">
        <f t="shared" si="30"/>
        <v>10.560945009411455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6.3</v>
      </c>
      <c r="N25" s="13">
        <f>IF('Données projet'!$A$36&gt;35,N24+M25-V24,IF(A25&lt;'Données projet'!$A$36,$K$205^A25,IF(A25='Données projet'!$A$36,'Données projet'!$B$36,N24+M25-V24)))</f>
        <v>54.599999999999994</v>
      </c>
      <c r="O25" s="13">
        <f>N25*VLOOKUP('Données projet'!$B$9,Paramètres!$A$1:$I$89,3,0)*VLOOKUP('Données projet'!$B$9,Paramètres!$A$1:$I$89,5,0)</f>
        <v>49.402079999999998</v>
      </c>
      <c r="P25" s="13">
        <f t="shared" si="33"/>
        <v>14.459236264867963</v>
      </c>
      <c r="Q25" s="20">
        <f t="shared" si="2"/>
        <v>111.22512582797835</v>
      </c>
      <c r="R25" s="59">
        <f t="shared" si="0"/>
        <v>404.55845916131165</v>
      </c>
      <c r="S25" s="59">
        <f ca="1">AVERAGE(OFFSET($R$3,0,0,'Données projet'!$E$9+1,1))-AVERAGE(OFFSET($H$3,0,0,'Données projet'!$E$9+1,1))</f>
        <v>237.22177246688199</v>
      </c>
      <c r="T25" s="59">
        <f t="shared" si="34"/>
        <v>149.27472147904302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6.3</v>
      </c>
      <c r="AI25" s="13">
        <f>IF('Données projet'!$A$62&gt;35,AI24+AH25-AQ24,IF(A25&lt;'Données projet'!$A$62,$AF$205^A25,IF(A25='Données projet'!$A$62,'Données projet'!$B$62,AI24+AH25-AQ24)))</f>
        <v>54.599999999999994</v>
      </c>
      <c r="AJ25" s="13">
        <f>AI25*VLOOKUP('Données projet'!$B$10,Paramètres!$A$1:$I$89,3,0)*VLOOKUP('Données projet'!$B$10,Paramètres!$A$1:$I$89,5,0)</f>
        <v>55.364399999999996</v>
      </c>
      <c r="AK25" s="13">
        <f t="shared" si="35"/>
        <v>15.990815813983085</v>
      </c>
      <c r="AL25" s="20">
        <f t="shared" si="4"/>
        <v>124.27700087602052</v>
      </c>
      <c r="AM25" s="59">
        <f t="shared" si="5"/>
        <v>417.61033420935382</v>
      </c>
      <c r="AN25" s="59">
        <f ca="1">AVERAGE(OFFSET($AM$3,0,0,'Données projet'!$E$10+1,1))-AVERAGE(OFFSET($H$3,0,0,'Données projet'!$E$10+1,1))</f>
        <v>279.20364724206644</v>
      </c>
      <c r="AO25" s="59">
        <f t="shared" si="36"/>
        <v>173.99850582760712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9.1999999999999993</v>
      </c>
      <c r="BD25" s="12">
        <f>IF('Données projet'!$A$88&gt;35,BD24+BC25-BL24,IF(A25&lt;'Données projet'!$A$88,$BA$205^A25,IF(A25='Données projet'!$A$88,'Données projet'!$B$88,BD24+BC25-BL24)))</f>
        <v>163.89999999999998</v>
      </c>
      <c r="BE25" s="13">
        <f>BD25*VLOOKUP('Données projet'!$B$11,Paramètres!$A$1:$I$89,3,0)*VLOOKUP('Données projet'!$B$11,Paramètres!$A$1:$I$89,5,0)</f>
        <v>76.705199999999991</v>
      </c>
      <c r="BF25" s="13">
        <f t="shared" si="37"/>
        <v>21.32962715676695</v>
      </c>
      <c r="BG25" s="20">
        <f t="shared" si="7"/>
        <v>170.74399063136909</v>
      </c>
      <c r="BH25" s="59">
        <f t="shared" si="8"/>
        <v>464.07732396470237</v>
      </c>
      <c r="BI25" s="59">
        <f ca="1">AVERAGE(OFFSET($BH$3,0,0,'Données projet'!$E$11+1,1))-AVERAGE(OFFSET($H$3,0,0,'Données projet'!$E$11+1,1))</f>
        <v>215.23235148064941</v>
      </c>
      <c r="BJ25" s="59">
        <f t="shared" si="38"/>
        <v>184.07239726900434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2.0110420822094341</v>
      </c>
      <c r="BR25" s="21">
        <f>EXP(-LN(2)/2)*BR24+(1-EXP(-LN(2)/2))/(LN(2)/2)*BL25*BO25*VLOOKUP('Données projet'!$B$11,Paramètres!$A$1:$I$89,3,0)*0.475*44/12</f>
        <v>1.6558897351324564</v>
      </c>
      <c r="BS25" s="22">
        <f t="shared" si="9"/>
        <v>3.6669318173418906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6.3</v>
      </c>
      <c r="BY25" s="12">
        <f>IF('Données projet'!$A$114&gt;35,BY24+BX25-CG24,IF(A25&lt;'Données projet'!$A$114,$BV$205^A25,IF(A25='Données projet'!$A$114,'Données projet'!$B$114,BY24+BX25-CG24)))</f>
        <v>54.599999999999994</v>
      </c>
      <c r="BZ25" s="13">
        <f>BY25*VLOOKUP('Données projet'!$B$12,Paramètres!$A$1:$I$89,3,0)*VLOOKUP('Données projet'!$B$12,Paramètres!$A$1:$I$89,5,0)</f>
        <v>58.771439999999991</v>
      </c>
      <c r="CA25" s="13">
        <f t="shared" si="39"/>
        <v>16.857277481823555</v>
      </c>
      <c r="CB25" s="20">
        <f t="shared" si="10"/>
        <v>131.72001628084266</v>
      </c>
      <c r="CC25" s="59">
        <f t="shared" si="11"/>
        <v>425.053349614176</v>
      </c>
      <c r="CD25" s="59">
        <f ca="1">AVERAGE(OFFSET($CC$3,0,0,'Données projet'!$E$12+1,1))-AVERAGE(OFFSET($H$3,0,0,'Données projet'!$E$12+1,1))</f>
        <v>303.1504619632214</v>
      </c>
      <c r="CE25" s="59">
        <f t="shared" si="40"/>
        <v>188.09929616366503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12.2</v>
      </c>
      <c r="CT25" s="12">
        <f>IF('Données projet'!$A$140&gt;35,CT24+CS25-DB24,IF(A25&lt;'Données projet'!$A$140,$CQ$205^A25,IF(A25='Données projet'!$A$140,'Données projet'!$B$140,CT24+CS25-DB24)))</f>
        <v>76.400000000000006</v>
      </c>
      <c r="CU25" s="17">
        <f>CT25*VLOOKUP('Données projet'!$B$13,Paramètres!$A$1:$I$89,3,0)*VLOOKUP('Données projet'!$B$13,Paramètres!$A$1:$I$89,5,0)</f>
        <v>51.249120000000005</v>
      </c>
      <c r="CV25" s="13">
        <f t="shared" si="41"/>
        <v>14.935885615366388</v>
      </c>
      <c r="CW25" s="20">
        <f t="shared" si="13"/>
        <v>115.27221811342979</v>
      </c>
      <c r="CX25" s="59">
        <f t="shared" si="14"/>
        <v>408.60555144676312</v>
      </c>
      <c r="CY25" s="59">
        <f ca="1">AVERAGE(OFFSET($CX$3,0,0,'Données projet'!$E$13+1,1))-AVERAGE(OFFSET($H$3,0,0,'Données projet'!$E$13+1,1))</f>
        <v>156.63226020379989</v>
      </c>
      <c r="CZ25" s="59">
        <f t="shared" si="42"/>
        <v>196.0481096619543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3.9813351703086441</v>
      </c>
      <c r="DH25" s="21">
        <f>EXP(-LN(2)/2)*DH24+(1-EXP(-LN(2)/2))/(LN(2)/2)*DB25*DE25*VLOOKUP('Données projet'!$B$13,Paramètres!$A$1:$I$89,3,0)*0.475*44/12</f>
        <v>3.4019334669554575</v>
      </c>
      <c r="DI25" s="22">
        <f t="shared" si="15"/>
        <v>7.3832686372641021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8.6</v>
      </c>
      <c r="DO25" s="12">
        <f>IF('Données projet'!$A$166&gt;35,DO24+DN25-DW24,IF(A25&lt;'Données projet'!$A$166,$DL$205^A25,IF(A25='Données projet'!$A$166,'Données projet'!$B$166,DO24+DN25-DW24)))</f>
        <v>167.19999999999993</v>
      </c>
      <c r="DP25" s="17">
        <f>DO25*VLOOKUP('Données projet'!$B$14,Paramètres!$A$1:$I$89,3,0)*VLOOKUP('Données projet'!$B$14,Paramètres!$A$1:$I$89,5,0)</f>
        <v>151.28255999999993</v>
      </c>
      <c r="DQ25" s="13">
        <f t="shared" si="43"/>
        <v>38.86990739921886</v>
      </c>
      <c r="DR25" s="20">
        <f t="shared" si="16"/>
        <v>331.18221405363937</v>
      </c>
      <c r="DS25" s="59">
        <f t="shared" si="17"/>
        <v>624.51554738697268</v>
      </c>
      <c r="DT25" s="59">
        <f ca="1">AVERAGE(OFFSET($DS$3,0,0,'Données projet'!$E$14+1,1))-AVERAGE(OFFSET($H$3,0,0,'Données projet'!$E$14+1,1))</f>
        <v>225.28075317732998</v>
      </c>
      <c r="DU25" s="59">
        <f t="shared" si="44"/>
        <v>358.43407531256207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0.5768318586830965</v>
      </c>
      <c r="EB25" s="21">
        <f>EXP(-LN(2)/25)*EB24+(1-EXP(-LN(2)/25))/(LN(2)/25)*Calculateur!DW25*Calculateur!DY25*VLOOKUP('Données projet'!$B$14,Paramètres!$A$1:$I$89,3,0)*0.475*44/12</f>
        <v>7.0708429681202789</v>
      </c>
      <c r="EC25" s="21">
        <f>EXP(-LN(2)/2)*EC24+(1-EXP(-LN(2)/2))/(LN(2)/2)*DW25*DZ25*VLOOKUP('Données projet'!$B$14,Paramètres!$A$1:$I$89,3,0)*0.475*44/12</f>
        <v>4.5142556014241952</v>
      </c>
      <c r="ED25" s="22">
        <f t="shared" si="18"/>
        <v>12.161930428227571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22.2</v>
      </c>
      <c r="EJ25" s="12">
        <f>IF('Données projet'!$A$192&gt;35,EJ24+EI25-ER24,IF(A25&lt;'Données projet'!$A$192,$EG$205^A25,IF(A25='Données projet'!$A$192,'Données projet'!$B$192,EJ24+EI25-ER24)))</f>
        <v>143.39999999999998</v>
      </c>
      <c r="EK25" s="17">
        <f>EJ25*VLOOKUP('Données projet'!$B$15,Paramètres!$A$1:$I$89,3,0)*VLOOKUP('Données projet'!$B$15,Paramètres!$A$1:$I$89,5,0)</f>
        <v>80.160599999999988</v>
      </c>
      <c r="EL25" s="13">
        <f t="shared" si="45"/>
        <v>22.176447079115164</v>
      </c>
      <c r="EM25" s="20">
        <f t="shared" si="19"/>
        <v>178.23702366279221</v>
      </c>
      <c r="EN25" s="59">
        <f t="shared" si="20"/>
        <v>471.5703569961255</v>
      </c>
      <c r="EO25" s="59">
        <f ca="1">AVERAGE(OFFSET($EN$3,0,0,'Données projet'!$E$15+1,1))-AVERAGE(OFFSET($H$3,0,0,'Données projet'!$E$15+1,1))</f>
        <v>326.31232746914907</v>
      </c>
      <c r="EP25" s="59">
        <f t="shared" si="46"/>
        <v>330.17137761430297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12.106473334900793</v>
      </c>
      <c r="EX25" s="21">
        <f>EXP(-LN(2)/2)*EX24+(1-EXP(-LN(2)/2))/(LN(2)/2)*ER25*EU25*VLOOKUP('Données projet'!$B$15,Paramètres!$A$1:$I$89,3,0)*0.475*44/12</f>
        <v>9.9684562054973895</v>
      </c>
      <c r="EY25" s="22">
        <f t="shared" si="21"/>
        <v>22.07492954039818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16.5</v>
      </c>
      <c r="FE25" s="12">
        <f>IF('Données projet'!$A$218&gt;35,FE24+FD25-FM24,IF(A25&lt;'Données projet'!$A$218,$FB$205^A25,IF(A25='Données projet'!$A$218,'Données projet'!$B$218,FE24+FD25-FM24)))</f>
        <v>131</v>
      </c>
      <c r="FF25" s="17">
        <f>FE25*VLOOKUP('Données projet'!$B$16,Paramètres!$A$1:$I$89,3,0)*VLOOKUP('Données projet'!$B$16,Paramètres!$A$1:$I$89,5,0)</f>
        <v>81.744</v>
      </c>
      <c r="FG25" s="13">
        <f t="shared" si="47"/>
        <v>22.563064513367394</v>
      </c>
      <c r="FH25" s="20">
        <f t="shared" si="22"/>
        <v>181.66813736078151</v>
      </c>
      <c r="FI25" s="59">
        <f t="shared" si="23"/>
        <v>475.0014706941148</v>
      </c>
      <c r="FJ25" s="59">
        <f ca="1">AVERAGE(OFFSET($FI$3,0,0,'Données projet'!$E$16+1,1))-AVERAGE(OFFSET($H$3,0,0,'Données projet'!$E$16+1,1))</f>
        <v>255.41017495879987</v>
      </c>
      <c r="FK25" s="59">
        <f t="shared" si="48"/>
        <v>297.50513563712764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14.040730173971321</v>
      </c>
      <c r="FS25" s="21">
        <f>EXP(-LN(2)/2)*FS24+(1-EXP(-LN(2)/2))/(LN(2)/2)*FM25*FP25*VLOOKUP('Données projet'!$B$16,Paramètres!$A$1:$I$89,3,0)*0.475*44/12</f>
        <v>10.597694304847721</v>
      </c>
      <c r="FT25" s="22">
        <f t="shared" si="24"/>
        <v>24.63842447881904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15.8</v>
      </c>
      <c r="FZ25" s="12">
        <f>IF('Données projet'!$A$244&gt;35,FZ24+FY25-GH24,IF(A25&lt;'Données projet'!$A$244,$FW$205^A25,IF(A25='Données projet'!$A$244,'Données projet'!$B$244,FZ24+FY25-GH24)))</f>
        <v>130.60000000000002</v>
      </c>
      <c r="GA25" s="17">
        <f>FZ25*VLOOKUP('Données projet'!$B$17,Paramètres!$A$1:$I$89,3,0)*VLOOKUP('Données projet'!$B$17,Paramètres!$A$1:$I$89,5,0)</f>
        <v>78.098800000000026</v>
      </c>
      <c r="GB25" s="13">
        <f t="shared" si="49"/>
        <v>21.671682136967</v>
      </c>
      <c r="GC25" s="20">
        <f t="shared" si="25"/>
        <v>173.76692305521752</v>
      </c>
      <c r="GD25" s="59">
        <f t="shared" si="26"/>
        <v>467.10025638855086</v>
      </c>
      <c r="GE25" s="59">
        <f ca="1">AVERAGE(OFFSET($GD$3,0,0,'Données projet'!$E$17+1,1))-AVERAGE(OFFSET($H$3,0,0,'Données projet'!$E$17+1,1))</f>
        <v>259.30247982593914</v>
      </c>
      <c r="GF25" s="59">
        <f t="shared" si="50"/>
        <v>275.24740346220779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3.8685136781410567</v>
      </c>
      <c r="GN25" s="21">
        <f>EXP(-LN(2)/2)*GN24+(1-EXP(-LN(2)/2))/(LN(2)/2)*GH25*GK25*VLOOKUP('Données projet'!$B$17,Paramètres!$A$1:$I$89,3,0)*0.475*44/12</f>
        <v>3.893180755044753</v>
      </c>
      <c r="GO25" s="21">
        <f t="shared" si="27"/>
        <v>7.7616944331858093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12.2</v>
      </c>
      <c r="GU25" s="12">
        <f>IF('Données projet'!$A$270&gt;35,GU24+GT25-HC24,IF(A25&lt;'Données projet'!$A$270,$GR$205^A25,IF(A25='Données projet'!$A$270,'Données projet'!$B$270,GU24+GT25-HC24)))</f>
        <v>76.400000000000006</v>
      </c>
      <c r="GV25" s="17">
        <f>GU25*VLOOKUP('Données projet'!$B$18,Paramètres!$A$1:$I$89,3,0)*VLOOKUP('Données projet'!$B$18,Paramètres!$A$1:$I$89,5,0)</f>
        <v>60.783840000000012</v>
      </c>
      <c r="GW25" s="13">
        <f t="shared" si="51"/>
        <v>17.366298404318218</v>
      </c>
      <c r="GX25" s="20">
        <f t="shared" si="28"/>
        <v>136.11149105418758</v>
      </c>
      <c r="GY25" s="59">
        <f t="shared" si="29"/>
        <v>429.4448243875209</v>
      </c>
      <c r="GZ25" s="59">
        <f ca="1">AVERAGE(OFFSET($GY$3,0,0,'Données projet'!$E$18+1,1))-AVERAGE(OFFSET($H$3,0,0,'Données projet'!$E$18+1,1))</f>
        <v>199.58763537752952</v>
      </c>
      <c r="HA25" s="59">
        <f t="shared" si="52"/>
        <v>242.62852778451929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4.7220486903660666</v>
      </c>
      <c r="HI25" s="21">
        <f>EXP(-LN(2)/2)*HI24+(1-EXP(-LN(2)/2))/(LN(2)/2)*HC25*HF25*VLOOKUP('Données projet'!$B$18,Paramètres!$A$1:$I$89,3,0)*0.475*44/12</f>
        <v>4.034851321272753</v>
      </c>
      <c r="HJ25" s="22">
        <f t="shared" si="30"/>
        <v>8.7569000116388196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6.3</v>
      </c>
      <c r="N26" s="13">
        <f>IF('Données projet'!$A$36&gt;35,N25+M26-V25,IF(A26&lt;'Données projet'!$A$36,$K$205^A26,IF(A26='Données projet'!$A$36,'Données projet'!$B$36,N25+M26-V25)))</f>
        <v>60.899999999999991</v>
      </c>
      <c r="O26" s="13">
        <f>N26*VLOOKUP('Données projet'!$B$9,Paramètres!$A$1:$I$89,3,0)*VLOOKUP('Données projet'!$B$9,Paramètres!$A$1:$I$89,5,0)</f>
        <v>55.102319999999992</v>
      </c>
      <c r="P26" s="13">
        <f t="shared" si="33"/>
        <v>15.923912218988239</v>
      </c>
      <c r="Q26" s="20">
        <f t="shared" si="2"/>
        <v>123.70402111473783</v>
      </c>
      <c r="R26" s="59">
        <f t="shared" si="0"/>
        <v>417.03735444807114</v>
      </c>
      <c r="S26" s="59">
        <f ca="1">AVERAGE(OFFSET($R$3,0,0,'Données projet'!$E$9+1,1))-AVERAGE(OFFSET($H$3,0,0,'Données projet'!$E$9+1,1))</f>
        <v>237.22177246688199</v>
      </c>
      <c r="T26" s="59">
        <f t="shared" si="34"/>
        <v>149.27472147904302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6.3</v>
      </c>
      <c r="AI26" s="13">
        <f>IF('Données projet'!$A$62&gt;35,AI25+AH26-AQ25,IF(A26&lt;'Données projet'!$A$62,$AF$205^A26,IF(A26='Données projet'!$A$62,'Données projet'!$B$62,AI25+AH26-AQ25)))</f>
        <v>60.899999999999991</v>
      </c>
      <c r="AJ26" s="13">
        <f>AI26*VLOOKUP('Données projet'!$B$10,Paramètres!$A$1:$I$89,3,0)*VLOOKUP('Données projet'!$B$10,Paramètres!$A$1:$I$89,5,0)</f>
        <v>61.752599999999994</v>
      </c>
      <c r="AK26" s="13">
        <f t="shared" si="35"/>
        <v>17.610636043798049</v>
      </c>
      <c r="AL26" s="20">
        <f t="shared" si="4"/>
        <v>138.22430277628158</v>
      </c>
      <c r="AM26" s="59">
        <f t="shared" si="5"/>
        <v>431.55763610961492</v>
      </c>
      <c r="AN26" s="59">
        <f ca="1">AVERAGE(OFFSET($AM$3,0,0,'Données projet'!$E$10+1,1))-AVERAGE(OFFSET($H$3,0,0,'Données projet'!$E$10+1,1))</f>
        <v>279.20364724206644</v>
      </c>
      <c r="AO26" s="59">
        <f t="shared" si="36"/>
        <v>173.99850582760712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9.1999999999999993</v>
      </c>
      <c r="BD26" s="12">
        <f>IF('Données projet'!$A$88&gt;35,BD25+BC26-BL25,IF(A26&lt;'Données projet'!$A$88,$BA$205^A26,IF(A26='Données projet'!$A$88,'Données projet'!$B$88,BD25+BC26-BL25)))</f>
        <v>173.09999999999997</v>
      </c>
      <c r="BE26" s="13">
        <f>BD26*VLOOKUP('Données projet'!$B$11,Paramètres!$A$1:$I$89,3,0)*VLOOKUP('Données projet'!$B$11,Paramètres!$A$1:$I$89,5,0)</f>
        <v>81.010799999999989</v>
      </c>
      <c r="BF26" s="13">
        <f t="shared" si="37"/>
        <v>22.384149091932141</v>
      </c>
      <c r="BG26" s="20">
        <f t="shared" si="7"/>
        <v>180.07953633511511</v>
      </c>
      <c r="BH26" s="59">
        <f t="shared" si="8"/>
        <v>473.41286966844842</v>
      </c>
      <c r="BI26" s="59">
        <f ca="1">AVERAGE(OFFSET($BH$3,0,0,'Données projet'!$E$11+1,1))-AVERAGE(OFFSET($H$3,0,0,'Données projet'!$E$11+1,1))</f>
        <v>215.23235148064941</v>
      </c>
      <c r="BJ26" s="59">
        <f t="shared" si="38"/>
        <v>184.07239726900434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1.9560500307153104</v>
      </c>
      <c r="BR26" s="21">
        <f>EXP(-LN(2)/2)*BR25+(1-EXP(-LN(2)/2))/(LN(2)/2)*BL26*BO26*VLOOKUP('Données projet'!$B$11,Paramètres!$A$1:$I$89,3,0)*0.475*44/12</f>
        <v>1.170890860609356</v>
      </c>
      <c r="BS26" s="22">
        <f t="shared" si="9"/>
        <v>3.1269408913246663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6.3</v>
      </c>
      <c r="BY26" s="12">
        <f>IF('Données projet'!$A$114&gt;35,BY25+BX26-CG25,IF(A26&lt;'Données projet'!$A$114,$BV$205^A26,IF(A26='Données projet'!$A$114,'Données projet'!$B$114,BY25+BX26-CG25)))</f>
        <v>60.899999999999991</v>
      </c>
      <c r="BZ26" s="13">
        <f>BY26*VLOOKUP('Données projet'!$B$12,Paramètres!$A$1:$I$89,3,0)*VLOOKUP('Données projet'!$B$12,Paramètres!$A$1:$I$89,5,0)</f>
        <v>65.552759999999992</v>
      </c>
      <c r="CA26" s="13">
        <f t="shared" si="39"/>
        <v>18.564867601195999</v>
      </c>
      <c r="CB26" s="20">
        <f t="shared" si="10"/>
        <v>146.50486807208301</v>
      </c>
      <c r="CC26" s="59">
        <f t="shared" si="11"/>
        <v>439.83820140541633</v>
      </c>
      <c r="CD26" s="59">
        <f ca="1">AVERAGE(OFFSET($CC$3,0,0,'Données projet'!$E$12+1,1))-AVERAGE(OFFSET($H$3,0,0,'Données projet'!$E$12+1,1))</f>
        <v>303.1504619632214</v>
      </c>
      <c r="CE26" s="59">
        <f t="shared" si="40"/>
        <v>188.09929616366503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12.2</v>
      </c>
      <c r="CT26" s="12">
        <f>IF('Données projet'!$A$140&gt;35,CT25+CS26-DB25,IF(A26&lt;'Données projet'!$A$140,$CQ$205^A26,IF(A26='Données projet'!$A$140,'Données projet'!$B$140,CT25+CS26-DB25)))</f>
        <v>88.600000000000009</v>
      </c>
      <c r="CU26" s="17">
        <f>CT26*VLOOKUP('Données projet'!$B$13,Paramètres!$A$1:$I$89,3,0)*VLOOKUP('Données projet'!$B$13,Paramètres!$A$1:$I$89,5,0)</f>
        <v>59.432880000000011</v>
      </c>
      <c r="CV26" s="13">
        <f t="shared" si="41"/>
        <v>17.024804126865714</v>
      </c>
      <c r="CW26" s="20">
        <f t="shared" si="13"/>
        <v>133.16379985429114</v>
      </c>
      <c r="CX26" s="59">
        <f t="shared" si="14"/>
        <v>426.49713318762446</v>
      </c>
      <c r="CY26" s="59">
        <f ca="1">AVERAGE(OFFSET($CX$3,0,0,'Données projet'!$E$13+1,1))-AVERAGE(OFFSET($H$3,0,0,'Données projet'!$E$13+1,1))</f>
        <v>156.63226020379989</v>
      </c>
      <c r="CZ26" s="59">
        <f t="shared" si="42"/>
        <v>196.0481096619543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3.8724653507072371</v>
      </c>
      <c r="DH26" s="21">
        <f>EXP(-LN(2)/2)*DH25+(1-EXP(-LN(2)/2))/(LN(2)/2)*DB26*DE26*VLOOKUP('Données projet'!$B$13,Paramètres!$A$1:$I$89,3,0)*0.475*44/12</f>
        <v>2.4055302236296661</v>
      </c>
      <c r="DI26" s="22">
        <f t="shared" si="15"/>
        <v>6.2779955743369031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8.6</v>
      </c>
      <c r="DO26" s="12">
        <f>IF('Données projet'!$A$166&gt;35,DO25+DN26-DW25,IF(A26&lt;'Données projet'!$A$166,$DL$205^A26,IF(A26='Données projet'!$A$166,'Données projet'!$B$166,DO25+DN26-DW25)))</f>
        <v>175.79999999999993</v>
      </c>
      <c r="DP26" s="17">
        <f>DO26*VLOOKUP('Données projet'!$B$14,Paramètres!$A$1:$I$89,3,0)*VLOOKUP('Données projet'!$B$14,Paramètres!$A$1:$I$89,5,0)</f>
        <v>159.06383999999994</v>
      </c>
      <c r="DQ26" s="13">
        <f t="shared" si="43"/>
        <v>40.631289844793223</v>
      </c>
      <c r="DR26" s="20">
        <f t="shared" si="16"/>
        <v>347.80235114634814</v>
      </c>
      <c r="DS26" s="59">
        <f t="shared" si="17"/>
        <v>641.13568447968146</v>
      </c>
      <c r="DT26" s="59">
        <f ca="1">AVERAGE(OFFSET($DS$3,0,0,'Données projet'!$E$14+1,1))-AVERAGE(OFFSET($H$3,0,0,'Données projet'!$E$14+1,1))</f>
        <v>225.28075317732998</v>
      </c>
      <c r="DU26" s="59">
        <f t="shared" si="44"/>
        <v>358.43407531256207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0.56552053776701416</v>
      </c>
      <c r="EB26" s="21">
        <f>EXP(-LN(2)/25)*EB25+(1-EXP(-LN(2)/25))/(LN(2)/25)*Calculateur!DW26*Calculateur!DY26*VLOOKUP('Données projet'!$B$14,Paramètres!$A$1:$I$89,3,0)*0.475*44/12</f>
        <v>6.877490395317559</v>
      </c>
      <c r="EC26" s="21">
        <f>EXP(-LN(2)/2)*EC25+(1-EXP(-LN(2)/2))/(LN(2)/2)*DW26*DZ26*VLOOKUP('Données projet'!$B$14,Paramètres!$A$1:$I$89,3,0)*0.475*44/12</f>
        <v>3.1920607477764049</v>
      </c>
      <c r="ED26" s="22">
        <f t="shared" si="18"/>
        <v>10.635071680860978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22.2</v>
      </c>
      <c r="EJ26" s="12">
        <f>IF('Données projet'!$A$192&gt;35,EJ25+EI26-ER25,IF(A26&lt;'Données projet'!$A$192,$EG$205^A26,IF(A26='Données projet'!$A$192,'Données projet'!$B$192,EJ25+EI26-ER25)))</f>
        <v>165.59999999999997</v>
      </c>
      <c r="EK26" s="17">
        <f>EJ26*VLOOKUP('Données projet'!$B$15,Paramètres!$A$1:$I$89,3,0)*VLOOKUP('Données projet'!$B$15,Paramètres!$A$1:$I$89,5,0)</f>
        <v>92.570399999999978</v>
      </c>
      <c r="EL26" s="13">
        <f t="shared" si="45"/>
        <v>25.184123943972491</v>
      </c>
      <c r="EM26" s="20">
        <f t="shared" si="19"/>
        <v>205.08912920241869</v>
      </c>
      <c r="EN26" s="59">
        <f t="shared" si="20"/>
        <v>498.422462535752</v>
      </c>
      <c r="EO26" s="59">
        <f ca="1">AVERAGE(OFFSET($EN$3,0,0,'Données projet'!$E$15+1,1))-AVERAGE(OFFSET($H$3,0,0,'Données projet'!$E$15+1,1))</f>
        <v>326.31232746914907</v>
      </c>
      <c r="EP26" s="59">
        <f t="shared" si="46"/>
        <v>330.17137761430297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11.775421184906168</v>
      </c>
      <c r="EX26" s="21">
        <f>EXP(-LN(2)/2)*EX25+(1-EXP(-LN(2)/2))/(LN(2)/2)*ER26*EU26*VLOOKUP('Données projet'!$B$15,Paramètres!$A$1:$I$89,3,0)*0.475*44/12</f>
        <v>7.0487629808683252</v>
      </c>
      <c r="EY26" s="22">
        <f t="shared" si="21"/>
        <v>18.824184165774493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16.5</v>
      </c>
      <c r="FE26" s="12">
        <f>IF('Données projet'!$A$218&gt;35,FE25+FD26-FM25,IF(A26&lt;'Données projet'!$A$218,$FB$205^A26,IF(A26='Données projet'!$A$218,'Données projet'!$B$218,FE25+FD26-FM25)))</f>
        <v>147.5</v>
      </c>
      <c r="FF26" s="17">
        <f>FE26*VLOOKUP('Données projet'!$B$16,Paramètres!$A$1:$I$89,3,0)*VLOOKUP('Données projet'!$B$16,Paramètres!$A$1:$I$89,5,0)</f>
        <v>92.04</v>
      </c>
      <c r="FG26" s="13">
        <f t="shared" si="47"/>
        <v>25.056580235859606</v>
      </c>
      <c r="FH26" s="20">
        <f t="shared" si="22"/>
        <v>203.94321057745549</v>
      </c>
      <c r="FI26" s="59">
        <f t="shared" si="23"/>
        <v>497.2765439107888</v>
      </c>
      <c r="FJ26" s="59">
        <f ca="1">AVERAGE(OFFSET($FI$3,0,0,'Données projet'!$E$16+1,1))-AVERAGE(OFFSET($H$3,0,0,'Données projet'!$E$16+1,1))</f>
        <v>255.41017495879987</v>
      </c>
      <c r="FK26" s="59">
        <f t="shared" si="48"/>
        <v>297.50513563712764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13.656785668994166</v>
      </c>
      <c r="FS26" s="21">
        <f>EXP(-LN(2)/2)*FS25+(1-EXP(-LN(2)/2))/(LN(2)/2)*FM26*FP26*VLOOKUP('Données projet'!$B$16,Paramètres!$A$1:$I$89,3,0)*0.475*44/12</f>
        <v>7.4937015078998792</v>
      </c>
      <c r="FT26" s="22">
        <f t="shared" si="24"/>
        <v>21.150487176894046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15.8</v>
      </c>
      <c r="FZ26" s="12">
        <f>IF('Données projet'!$A$244&gt;35,FZ25+FY26-GH25,IF(A26&lt;'Données projet'!$A$244,$FW$205^A26,IF(A26='Données projet'!$A$244,'Données projet'!$B$244,FZ25+FY26-GH25)))</f>
        <v>146.40000000000003</v>
      </c>
      <c r="GA26" s="17">
        <f>FZ26*VLOOKUP('Données projet'!$B$17,Paramètres!$A$1:$I$89,3,0)*VLOOKUP('Données projet'!$B$17,Paramètres!$A$1:$I$89,5,0)</f>
        <v>87.547200000000032</v>
      </c>
      <c r="GB26" s="13">
        <f t="shared" si="49"/>
        <v>23.972720748088616</v>
      </c>
      <c r="GC26" s="20">
        <f t="shared" si="25"/>
        <v>194.23052863625438</v>
      </c>
      <c r="GD26" s="59">
        <f t="shared" si="26"/>
        <v>487.56386196958772</v>
      </c>
      <c r="GE26" s="59">
        <f ca="1">AVERAGE(OFFSET($GD$3,0,0,'Données projet'!$E$17+1,1))-AVERAGE(OFFSET($H$3,0,0,'Données projet'!$E$17+1,1))</f>
        <v>259.30247982593914</v>
      </c>
      <c r="GF26" s="59">
        <f t="shared" si="50"/>
        <v>275.24740346220779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3.7627289681759968</v>
      </c>
      <c r="GN26" s="21">
        <f>EXP(-LN(2)/2)*GN25+(1-EXP(-LN(2)/2))/(LN(2)/2)*GH26*GK26*VLOOKUP('Données projet'!$B$17,Paramètres!$A$1:$I$89,3,0)*0.475*44/12</f>
        <v>2.7528945122771082</v>
      </c>
      <c r="GO26" s="21">
        <f t="shared" si="27"/>
        <v>6.5156234804531046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12.2</v>
      </c>
      <c r="GU26" s="12">
        <f>IF('Données projet'!$A$270&gt;35,GU25+GT26-HC25,IF(A26&lt;'Données projet'!$A$270,$GR$205^A26,IF(A26='Données projet'!$A$270,'Données projet'!$B$270,GU25+GT26-HC25)))</f>
        <v>88.600000000000009</v>
      </c>
      <c r="GV26" s="17">
        <f>GU26*VLOOKUP('Données projet'!$B$18,Paramètres!$A$1:$I$89,3,0)*VLOOKUP('Données projet'!$B$18,Paramètres!$A$1:$I$89,5,0)</f>
        <v>70.490160000000017</v>
      </c>
      <c r="GW26" s="13">
        <f t="shared" si="51"/>
        <v>19.795132097024002</v>
      </c>
      <c r="GX26" s="20">
        <f t="shared" si="28"/>
        <v>157.24688373565013</v>
      </c>
      <c r="GY26" s="59">
        <f t="shared" si="29"/>
        <v>450.58021706898342</v>
      </c>
      <c r="GZ26" s="59">
        <f ca="1">AVERAGE(OFFSET($GY$3,0,0,'Données projet'!$E$18+1,1))-AVERAGE(OFFSET($H$3,0,0,'Données projet'!$E$18+1,1))</f>
        <v>199.58763537752952</v>
      </c>
      <c r="HA26" s="59">
        <f t="shared" si="52"/>
        <v>242.62852778451929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4.592924020606258</v>
      </c>
      <c r="HI26" s="21">
        <f>EXP(-LN(2)/2)*HI25+(1-EXP(-LN(2)/2))/(LN(2)/2)*HC26*HF26*VLOOKUP('Données projet'!$B$18,Paramètres!$A$1:$I$89,3,0)*0.475*44/12</f>
        <v>2.8530707303514649</v>
      </c>
      <c r="HJ26" s="22">
        <f t="shared" si="30"/>
        <v>7.4459947509577233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6.3</v>
      </c>
      <c r="N27" s="13">
        <f>IF('Données projet'!$A$36&gt;35,N26+M27-V26,IF(A27&lt;'Données projet'!$A$36,$K$205^A27,IF(A27='Données projet'!$A$36,'Données projet'!$B$36,N26+M27-V26)))</f>
        <v>67.199999999999989</v>
      </c>
      <c r="O27" s="13">
        <f>N27*VLOOKUP('Données projet'!$B$9,Paramètres!$A$1:$I$89,3,0)*VLOOKUP('Données projet'!$B$9,Paramètres!$A$1:$I$89,5,0)</f>
        <v>60.802559999999993</v>
      </c>
      <c r="P27" s="13">
        <f t="shared" si="33"/>
        <v>17.371024177726472</v>
      </c>
      <c r="Q27" s="20">
        <f t="shared" si="2"/>
        <v>136.15232577620694</v>
      </c>
      <c r="R27" s="59">
        <f t="shared" si="0"/>
        <v>429.48565910954028</v>
      </c>
      <c r="S27" s="59">
        <f ca="1">AVERAGE(OFFSET($R$3,0,0,'Données projet'!$E$9+1,1))-AVERAGE(OFFSET($H$3,0,0,'Données projet'!$E$9+1,1))</f>
        <v>237.22177246688199</v>
      </c>
      <c r="T27" s="59">
        <f t="shared" si="34"/>
        <v>149.27472147904302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6.3</v>
      </c>
      <c r="AI27" s="13">
        <f>IF('Données projet'!$A$62&gt;35,AI26+AH27-AQ26,IF(A27&lt;'Données projet'!$A$62,$AF$205^A27,IF(A27='Données projet'!$A$62,'Données projet'!$B$62,AI26+AH27-AQ26)))</f>
        <v>67.199999999999989</v>
      </c>
      <c r="AJ27" s="13">
        <f>AI27*VLOOKUP('Données projet'!$B$10,Paramètres!$A$1:$I$89,3,0)*VLOOKUP('Données projet'!$B$10,Paramètres!$A$1:$I$89,5,0)</f>
        <v>68.140799999999984</v>
      </c>
      <c r="AK27" s="13">
        <f t="shared" si="35"/>
        <v>19.21103183030446</v>
      </c>
      <c r="AL27" s="20">
        <f t="shared" si="4"/>
        <v>152.13777377111359</v>
      </c>
      <c r="AM27" s="59">
        <f t="shared" si="5"/>
        <v>445.4711071044469</v>
      </c>
      <c r="AN27" s="59">
        <f ca="1">AVERAGE(OFFSET($AM$3,0,0,'Données projet'!$E$10+1,1))-AVERAGE(OFFSET($H$3,0,0,'Données projet'!$E$10+1,1))</f>
        <v>279.20364724206644</v>
      </c>
      <c r="AO27" s="59">
        <f t="shared" si="36"/>
        <v>173.99850582760712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9.1999999999999993</v>
      </c>
      <c r="BD27" s="12">
        <f>IF('Données projet'!$A$88&gt;35,BD26+BC27-BL26,IF(A27&lt;'Données projet'!$A$88,$BA$205^A27,IF(A27='Données projet'!$A$88,'Données projet'!$B$88,BD26+BC27-BL26)))</f>
        <v>182.29999999999995</v>
      </c>
      <c r="BE27" s="13">
        <f>BD27*VLOOKUP('Données projet'!$B$11,Paramètres!$A$1:$I$89,3,0)*VLOOKUP('Données projet'!$B$11,Paramètres!$A$1:$I$89,5,0)</f>
        <v>85.316399999999987</v>
      </c>
      <c r="BF27" s="13">
        <f t="shared" si="37"/>
        <v>23.432164150529264</v>
      </c>
      <c r="BG27" s="20">
        <f t="shared" si="7"/>
        <v>189.40374922883845</v>
      </c>
      <c r="BH27" s="59">
        <f t="shared" si="8"/>
        <v>482.73708256217174</v>
      </c>
      <c r="BI27" s="59">
        <f ca="1">AVERAGE(OFFSET($BH$3,0,0,'Données projet'!$E$11+1,1))-AVERAGE(OFFSET($H$3,0,0,'Données projet'!$E$11+1,1))</f>
        <v>215.23235148064941</v>
      </c>
      <c r="BJ27" s="59">
        <f t="shared" si="38"/>
        <v>184.07239726900434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1.9025617397611998</v>
      </c>
      <c r="BR27" s="21">
        <f>EXP(-LN(2)/2)*BR26+(1-EXP(-LN(2)/2))/(LN(2)/2)*BL27*BO27*VLOOKUP('Données projet'!$B$11,Paramètres!$A$1:$I$89,3,0)*0.475*44/12</f>
        <v>0.8279448675662282</v>
      </c>
      <c r="BS27" s="22">
        <f t="shared" si="9"/>
        <v>2.730506607327428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6.3</v>
      </c>
      <c r="BY27" s="12">
        <f>IF('Données projet'!$A$114&gt;35,BY26+BX27-CG26,IF(A27&lt;'Données projet'!$A$114,$BV$205^A27,IF(A27='Données projet'!$A$114,'Données projet'!$B$114,BY26+BX27-CG26)))</f>
        <v>67.199999999999989</v>
      </c>
      <c r="BZ27" s="13">
        <f>BY27*VLOOKUP('Données projet'!$B$12,Paramètres!$A$1:$I$89,3,0)*VLOOKUP('Données projet'!$B$12,Paramètres!$A$1:$I$89,5,0)</f>
        <v>72.334079999999986</v>
      </c>
      <c r="CA27" s="13">
        <f t="shared" si="39"/>
        <v>20.251980764633768</v>
      </c>
      <c r="CB27" s="20">
        <f t="shared" si="10"/>
        <v>161.25405583173711</v>
      </c>
      <c r="CC27" s="59">
        <f t="shared" si="11"/>
        <v>454.58738916507042</v>
      </c>
      <c r="CD27" s="59">
        <f ca="1">AVERAGE(OFFSET($CC$3,0,0,'Données projet'!$E$12+1,1))-AVERAGE(OFFSET($H$3,0,0,'Données projet'!$E$12+1,1))</f>
        <v>303.1504619632214</v>
      </c>
      <c r="CE27" s="59">
        <f t="shared" si="40"/>
        <v>188.09929616366503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12.2</v>
      </c>
      <c r="CT27" s="12">
        <f>IF('Données projet'!$A$140&gt;35,CT26+CS27-DB26,IF(A27&lt;'Données projet'!$A$140,$CQ$205^A27,IF(A27='Données projet'!$A$140,'Données projet'!$B$140,CT26+CS27-DB26)))</f>
        <v>100.80000000000001</v>
      </c>
      <c r="CU27" s="17">
        <f>CT27*VLOOKUP('Données projet'!$B$13,Paramètres!$A$1:$I$89,3,0)*VLOOKUP('Données projet'!$B$13,Paramètres!$A$1:$I$89,5,0)</f>
        <v>67.616640000000004</v>
      </c>
      <c r="CV27" s="13">
        <f t="shared" si="41"/>
        <v>19.080397298873443</v>
      </c>
      <c r="CW27" s="20">
        <f t="shared" si="13"/>
        <v>150.99733996220459</v>
      </c>
      <c r="CX27" s="59">
        <f t="shared" si="14"/>
        <v>444.33067329553791</v>
      </c>
      <c r="CY27" s="59">
        <f ca="1">AVERAGE(OFFSET($CX$3,0,0,'Données projet'!$E$13+1,1))-AVERAGE(OFFSET($H$3,0,0,'Données projet'!$E$13+1,1))</f>
        <v>156.63226020379989</v>
      </c>
      <c r="CZ27" s="59">
        <f t="shared" si="42"/>
        <v>196.0481096619543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3.7665725820480453</v>
      </c>
      <c r="DH27" s="21">
        <f>EXP(-LN(2)/2)*DH26+(1-EXP(-LN(2)/2))/(LN(2)/2)*DB27*DE27*VLOOKUP('Données projet'!$B$13,Paramètres!$A$1:$I$89,3,0)*0.475*44/12</f>
        <v>1.7009667334777292</v>
      </c>
      <c r="DI27" s="22">
        <f t="shared" si="15"/>
        <v>5.4675393155257748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8.6</v>
      </c>
      <c r="DO27" s="12">
        <f>IF('Données projet'!$A$166&gt;35,DO26+DN27-DW26,IF(A27&lt;'Données projet'!$A$166,$DL$205^A27,IF(A27='Données projet'!$A$166,'Données projet'!$B$166,DO26+DN27-DW26)))</f>
        <v>184.39999999999992</v>
      </c>
      <c r="DP27" s="17">
        <f>DO27*VLOOKUP('Données projet'!$B$14,Paramètres!$A$1:$I$89,3,0)*VLOOKUP('Données projet'!$B$14,Paramètres!$A$1:$I$89,5,0)</f>
        <v>166.84511999999992</v>
      </c>
      <c r="DQ27" s="13">
        <f t="shared" si="43"/>
        <v>42.382666918050084</v>
      </c>
      <c r="DR27" s="20">
        <f t="shared" si="16"/>
        <v>364.40506221560372</v>
      </c>
      <c r="DS27" s="59">
        <f t="shared" si="17"/>
        <v>657.73839554893698</v>
      </c>
      <c r="DT27" s="59">
        <f ca="1">AVERAGE(OFFSET($DS$3,0,0,'Données projet'!$E$14+1,1))-AVERAGE(OFFSET($H$3,0,0,'Données projet'!$E$14+1,1))</f>
        <v>225.28075317732998</v>
      </c>
      <c r="DU27" s="59">
        <f t="shared" si="44"/>
        <v>358.43407531256207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0.55443102495487173</v>
      </c>
      <c r="EB27" s="21">
        <f>EXP(-LN(2)/25)*EB26+(1-EXP(-LN(2)/25))/(LN(2)/25)*Calculateur!DW27*Calculateur!DY27*VLOOKUP('Données projet'!$B$14,Paramètres!$A$1:$I$89,3,0)*0.475*44/12</f>
        <v>6.6894250587860995</v>
      </c>
      <c r="EC27" s="21">
        <f>EXP(-LN(2)/2)*EC26+(1-EXP(-LN(2)/2))/(LN(2)/2)*DW27*DZ27*VLOOKUP('Données projet'!$B$14,Paramètres!$A$1:$I$89,3,0)*0.475*44/12</f>
        <v>2.2571278007120976</v>
      </c>
      <c r="ED27" s="22">
        <f t="shared" si="18"/>
        <v>9.5009838844530687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22.2</v>
      </c>
      <c r="EJ27" s="12">
        <f>IF('Données projet'!$A$192&gt;35,EJ26+EI27-ER26,IF(A27&lt;'Données projet'!$A$192,$EG$205^A27,IF(A27='Données projet'!$A$192,'Données projet'!$B$192,EJ26+EI27-ER26)))</f>
        <v>187.79999999999995</v>
      </c>
      <c r="EK27" s="17">
        <f>EJ27*VLOOKUP('Données projet'!$B$15,Paramètres!$A$1:$I$89,3,0)*VLOOKUP('Données projet'!$B$15,Paramètres!$A$1:$I$89,5,0)</f>
        <v>104.98019999999997</v>
      </c>
      <c r="EL27" s="13">
        <f t="shared" si="45"/>
        <v>28.145084690033578</v>
      </c>
      <c r="EM27" s="20">
        <f t="shared" si="19"/>
        <v>231.85987083514172</v>
      </c>
      <c r="EN27" s="59">
        <f t="shared" si="20"/>
        <v>525.19320416847506</v>
      </c>
      <c r="EO27" s="59">
        <f ca="1">AVERAGE(OFFSET($EN$3,0,0,'Données projet'!$E$15+1,1))-AVERAGE(OFFSET($H$3,0,0,'Données projet'!$E$15+1,1))</f>
        <v>326.31232746914907</v>
      </c>
      <c r="EP27" s="59">
        <f t="shared" si="46"/>
        <v>330.17137761430297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11.453421673362422</v>
      </c>
      <c r="EX27" s="21">
        <f>EXP(-LN(2)/2)*EX26+(1-EXP(-LN(2)/2))/(LN(2)/2)*ER27*EU27*VLOOKUP('Données projet'!$B$15,Paramètres!$A$1:$I$89,3,0)*0.475*44/12</f>
        <v>4.9842281027486957</v>
      </c>
      <c r="EY27" s="22">
        <f t="shared" si="21"/>
        <v>16.437649776111119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16.5</v>
      </c>
      <c r="FE27" s="12">
        <f>IF('Données projet'!$A$218&gt;35,FE26+FD27-FM26,IF(A27&lt;'Données projet'!$A$218,$FB$205^A27,IF(A27='Données projet'!$A$218,'Données projet'!$B$218,FE26+FD27-FM26)))</f>
        <v>164</v>
      </c>
      <c r="FF27" s="17">
        <f>FE27*VLOOKUP('Données projet'!$B$16,Paramètres!$A$1:$I$89,3,0)*VLOOKUP('Données projet'!$B$16,Paramètres!$A$1:$I$89,5,0)</f>
        <v>102.336</v>
      </c>
      <c r="FG27" s="13">
        <f t="shared" si="47"/>
        <v>27.517767215282735</v>
      </c>
      <c r="FH27" s="20">
        <f t="shared" si="22"/>
        <v>226.16197789995076</v>
      </c>
      <c r="FI27" s="59">
        <f t="shared" si="23"/>
        <v>519.49531123328404</v>
      </c>
      <c r="FJ27" s="59">
        <f ca="1">AVERAGE(OFFSET($FI$3,0,0,'Données projet'!$E$16+1,1))-AVERAGE(OFFSET($H$3,0,0,'Données projet'!$E$16+1,1))</f>
        <v>255.41017495879987</v>
      </c>
      <c r="FK27" s="59">
        <f t="shared" si="48"/>
        <v>297.50513563712764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13.283340146696375</v>
      </c>
      <c r="FS27" s="21">
        <f>EXP(-LN(2)/2)*FS26+(1-EXP(-LN(2)/2))/(LN(2)/2)*FM27*FP27*VLOOKUP('Données projet'!$B$16,Paramètres!$A$1:$I$89,3,0)*0.475*44/12</f>
        <v>5.2988471524238614</v>
      </c>
      <c r="FT27" s="22">
        <f t="shared" si="24"/>
        <v>18.582187299120235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15.8</v>
      </c>
      <c r="FZ27" s="12">
        <f>IF('Données projet'!$A$244&gt;35,FZ26+FY27-GH26,IF(A27&lt;'Données projet'!$A$244,$FW$205^A27,IF(A27='Données projet'!$A$244,'Données projet'!$B$244,FZ26+FY27-GH26)))</f>
        <v>162.20000000000005</v>
      </c>
      <c r="GA27" s="17">
        <f>FZ27*VLOOKUP('Données projet'!$B$17,Paramètres!$A$1:$I$89,3,0)*VLOOKUP('Données projet'!$B$17,Paramètres!$A$1:$I$89,5,0)</f>
        <v>96.995600000000039</v>
      </c>
      <c r="GB27" s="13">
        <f t="shared" si="49"/>
        <v>26.244974914188191</v>
      </c>
      <c r="GC27" s="20">
        <f t="shared" si="25"/>
        <v>214.64400130887782</v>
      </c>
      <c r="GD27" s="59">
        <f t="shared" si="26"/>
        <v>507.97733464221113</v>
      </c>
      <c r="GE27" s="59">
        <f ca="1">AVERAGE(OFFSET($GD$3,0,0,'Données projet'!$E$17+1,1))-AVERAGE(OFFSET($H$3,0,0,'Données projet'!$E$17+1,1))</f>
        <v>259.30247982593914</v>
      </c>
      <c r="GF27" s="59">
        <f t="shared" si="50"/>
        <v>275.24740346220779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3.6598369466679075</v>
      </c>
      <c r="GN27" s="21">
        <f>EXP(-LN(2)/2)*GN26+(1-EXP(-LN(2)/2))/(LN(2)/2)*GH27*GK27*VLOOKUP('Données projet'!$B$17,Paramètres!$A$1:$I$89,3,0)*0.475*44/12</f>
        <v>1.9465903775223767</v>
      </c>
      <c r="GO27" s="21">
        <f t="shared" si="27"/>
        <v>5.6064273241902844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12.2</v>
      </c>
      <c r="GU27" s="12">
        <f>IF('Données projet'!$A$270&gt;35,GU26+GT27-HC26,IF(A27&lt;'Données projet'!$A$270,$GR$205^A27,IF(A27='Données projet'!$A$270,'Données projet'!$B$270,GU26+GT27-HC26)))</f>
        <v>100.80000000000001</v>
      </c>
      <c r="GV27" s="17">
        <f>GU27*VLOOKUP('Données projet'!$B$18,Paramètres!$A$1:$I$89,3,0)*VLOOKUP('Données projet'!$B$18,Paramètres!$A$1:$I$89,5,0)</f>
        <v>80.196480000000022</v>
      </c>
      <c r="GW27" s="13">
        <f t="shared" si="51"/>
        <v>22.185217649516332</v>
      </c>
      <c r="GX27" s="20">
        <f t="shared" si="28"/>
        <v>178.31479007290764</v>
      </c>
      <c r="GY27" s="59">
        <f t="shared" si="29"/>
        <v>471.64812340624098</v>
      </c>
      <c r="GZ27" s="59">
        <f ca="1">AVERAGE(OFFSET($GY$3,0,0,'Données projet'!$E$18+1,1))-AVERAGE(OFFSET($H$3,0,0,'Données projet'!$E$18+1,1))</f>
        <v>199.58763537752952</v>
      </c>
      <c r="HA27" s="59">
        <f t="shared" si="52"/>
        <v>242.62852778451929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4.4673302717314032</v>
      </c>
      <c r="HI27" s="21">
        <f>EXP(-LN(2)/2)*HI26+(1-EXP(-LN(2)/2))/(LN(2)/2)*HC27*HF27*VLOOKUP('Données projet'!$B$18,Paramètres!$A$1:$I$89,3,0)*0.475*44/12</f>
        <v>2.0174256606363765</v>
      </c>
      <c r="HJ27" s="22">
        <f t="shared" si="30"/>
        <v>6.4847559323677793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6.3</v>
      </c>
      <c r="N28" s="13">
        <f>IF('Données projet'!$A$36&gt;35,N27+M28-V27,IF(A28&lt;'Données projet'!$A$36,$K$205^A28,IF(A28='Données projet'!$A$36,'Données projet'!$B$36,N27+M28-V27)))</f>
        <v>73.499999999999986</v>
      </c>
      <c r="O28" s="13">
        <f>N28*VLOOKUP('Données projet'!$B$9,Paramètres!$A$1:$I$89,3,0)*VLOOKUP('Données projet'!$B$9,Paramètres!$A$1:$I$89,5,0)</f>
        <v>66.502799999999979</v>
      </c>
      <c r="P28" s="13">
        <f t="shared" si="33"/>
        <v>18.802406075407909</v>
      </c>
      <c r="Q28" s="20">
        <f t="shared" si="2"/>
        <v>148.57323391466869</v>
      </c>
      <c r="R28" s="59">
        <f t="shared" si="0"/>
        <v>441.90656724800203</v>
      </c>
      <c r="S28" s="59">
        <f ca="1">AVERAGE(OFFSET($R$3,0,0,'Données projet'!$E$9+1,1))-AVERAGE(OFFSET($H$3,0,0,'Données projet'!$E$9+1,1))</f>
        <v>237.22177246688199</v>
      </c>
      <c r="T28" s="59">
        <f t="shared" si="34"/>
        <v>149.27472147904302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6.3</v>
      </c>
      <c r="AI28" s="13">
        <f>IF('Données projet'!$A$62&gt;35,AI27+AH28-AQ27,IF(A28&lt;'Données projet'!$A$62,$AF$205^A28,IF(A28='Données projet'!$A$62,'Données projet'!$B$62,AI27+AH28-AQ27)))</f>
        <v>73.499999999999986</v>
      </c>
      <c r="AJ28" s="13">
        <f>AI28*VLOOKUP('Données projet'!$B$10,Paramètres!$A$1:$I$89,3,0)*VLOOKUP('Données projet'!$B$10,Paramètres!$A$1:$I$89,5,0)</f>
        <v>74.528999999999982</v>
      </c>
      <c r="AK28" s="13">
        <f t="shared" si="35"/>
        <v>20.794031365411815</v>
      </c>
      <c r="AL28" s="20">
        <f t="shared" si="4"/>
        <v>166.02094629475889</v>
      </c>
      <c r="AM28" s="59">
        <f t="shared" si="5"/>
        <v>459.35427962809217</v>
      </c>
      <c r="AN28" s="59">
        <f ca="1">AVERAGE(OFFSET($AM$3,0,0,'Données projet'!$E$10+1,1))-AVERAGE(OFFSET($H$3,0,0,'Données projet'!$E$10+1,1))</f>
        <v>279.20364724206644</v>
      </c>
      <c r="AO28" s="59">
        <f t="shared" si="36"/>
        <v>173.99850582760712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9.1999999999999993</v>
      </c>
      <c r="BD28" s="12">
        <f>IF('Données projet'!$A$88&gt;35,BD27+BC28-BL27,IF(A28&lt;'Données projet'!$A$88,$BA$205^A28,IF(A28='Données projet'!$A$88,'Données projet'!$B$88,BD27+BC28-BL27)))</f>
        <v>191.49999999999994</v>
      </c>
      <c r="BE28" s="13">
        <f>BD28*VLOOKUP('Données projet'!$B$11,Paramètres!$A$1:$I$89,3,0)*VLOOKUP('Données projet'!$B$11,Paramètres!$A$1:$I$89,5,0)</f>
        <v>89.621999999999986</v>
      </c>
      <c r="BF28" s="13">
        <f t="shared" si="37"/>
        <v>24.47403817697321</v>
      </c>
      <c r="BG28" s="20">
        <f t="shared" si="7"/>
        <v>198.71726649156165</v>
      </c>
      <c r="BH28" s="59">
        <f t="shared" si="8"/>
        <v>492.05059982489496</v>
      </c>
      <c r="BI28" s="59">
        <f ca="1">AVERAGE(OFFSET($BH$3,0,0,'Données projet'!$E$11+1,1))-AVERAGE(OFFSET($H$3,0,0,'Données projet'!$E$11+1,1))</f>
        <v>215.23235148064941</v>
      </c>
      <c r="BJ28" s="59">
        <f t="shared" si="38"/>
        <v>184.07239726900434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1.8505360889360563</v>
      </c>
      <c r="BR28" s="21">
        <f>EXP(-LN(2)/2)*BR27+(1-EXP(-LN(2)/2))/(LN(2)/2)*BL28*BO28*VLOOKUP('Données projet'!$B$11,Paramètres!$A$1:$I$89,3,0)*0.475*44/12</f>
        <v>0.58544543030467799</v>
      </c>
      <c r="BS28" s="22">
        <f t="shared" si="9"/>
        <v>2.4359815192407344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6.3</v>
      </c>
      <c r="BY28" s="12">
        <f>IF('Données projet'!$A$114&gt;35,BY27+BX28-CG27,IF(A28&lt;'Données projet'!$A$114,$BV$205^A28,IF(A28='Données projet'!$A$114,'Données projet'!$B$114,BY27+BX28-CG27)))</f>
        <v>73.499999999999986</v>
      </c>
      <c r="BZ28" s="13">
        <f>BY28*VLOOKUP('Données projet'!$B$12,Paramètres!$A$1:$I$89,3,0)*VLOOKUP('Données projet'!$B$12,Paramètres!$A$1:$I$89,5,0)</f>
        <v>79.11539999999998</v>
      </c>
      <c r="CA28" s="13">
        <f t="shared" si="39"/>
        <v>21.920755061537864</v>
      </c>
      <c r="CB28" s="20">
        <f t="shared" si="10"/>
        <v>175.97130339884507</v>
      </c>
      <c r="CC28" s="59">
        <f t="shared" si="11"/>
        <v>469.30463673217838</v>
      </c>
      <c r="CD28" s="59">
        <f ca="1">AVERAGE(OFFSET($CC$3,0,0,'Données projet'!$E$12+1,1))-AVERAGE(OFFSET($H$3,0,0,'Données projet'!$E$12+1,1))</f>
        <v>303.1504619632214</v>
      </c>
      <c r="CE28" s="59">
        <f t="shared" si="40"/>
        <v>188.09929616366503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12.2</v>
      </c>
      <c r="CT28" s="12">
        <f>IF('Données projet'!$A$140&gt;35,CT27+CS28-DB27,IF(A28&lt;'Données projet'!$A$140,$CQ$205^A28,IF(A28='Données projet'!$A$140,'Données projet'!$B$140,CT27+CS28-DB27)))</f>
        <v>113.00000000000001</v>
      </c>
      <c r="CU28" s="17">
        <f>CT28*VLOOKUP('Données projet'!$B$13,Paramètres!$A$1:$I$89,3,0)*VLOOKUP('Données projet'!$B$13,Paramètres!$A$1:$I$89,5,0)</f>
        <v>75.80040000000001</v>
      </c>
      <c r="CV28" s="13">
        <f t="shared" si="41"/>
        <v>21.107159889298988</v>
      </c>
      <c r="CW28" s="20">
        <f t="shared" si="13"/>
        <v>168.78066680719573</v>
      </c>
      <c r="CX28" s="59">
        <f t="shared" si="14"/>
        <v>462.11400014052901</v>
      </c>
      <c r="CY28" s="59">
        <f ca="1">AVERAGE(OFFSET($CX$3,0,0,'Données projet'!$E$13+1,1))-AVERAGE(OFFSET($H$3,0,0,'Données projet'!$E$13+1,1))</f>
        <v>156.63226020379989</v>
      </c>
      <c r="CZ28" s="59">
        <f t="shared" si="42"/>
        <v>196.0481096619543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3.6635754567164982</v>
      </c>
      <c r="DH28" s="21">
        <f>EXP(-LN(2)/2)*DH27+(1-EXP(-LN(2)/2))/(LN(2)/2)*DB28*DE28*VLOOKUP('Données projet'!$B$13,Paramètres!$A$1:$I$89,3,0)*0.475*44/12</f>
        <v>1.2027651118148333</v>
      </c>
      <c r="DI28" s="22">
        <f t="shared" si="15"/>
        <v>4.8663405685313315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193</v>
      </c>
      <c r="DM28" s="12">
        <f>VLOOKUP(A28,'Données projet'!$A$165:$I$185,9,0)</f>
        <v>8.6</v>
      </c>
      <c r="DN28" s="12">
        <f t="array" ref="DN28">INDEX(DM:DM,MIN(IF(ISNUMBER(DM28:DM224),ROW(DM28:DM224),"")))</f>
        <v>8.6</v>
      </c>
      <c r="DO28" s="12">
        <f>IF('Données projet'!$A$166&gt;35,DO27+DN28-DW27,IF(A28&lt;'Données projet'!$A$166,$DL$205^A28,IF(A28='Données projet'!$A$166,'Données projet'!$B$166,DO27+DN28-DW27)))</f>
        <v>192.99999999999991</v>
      </c>
      <c r="DP28" s="17">
        <f>DO28*VLOOKUP('Données projet'!$B$14,Paramètres!$A$1:$I$89,3,0)*VLOOKUP('Données projet'!$B$14,Paramètres!$A$1:$I$89,5,0)</f>
        <v>174.6263999999999</v>
      </c>
      <c r="DQ28" s="13">
        <f t="shared" si="43"/>
        <v>44.124558536403974</v>
      </c>
      <c r="DR28" s="20">
        <f t="shared" si="16"/>
        <v>380.99125278423679</v>
      </c>
      <c r="DS28" s="59">
        <f t="shared" si="17"/>
        <v>674.32458611757011</v>
      </c>
      <c r="DT28" s="59">
        <f ca="1">AVERAGE(OFFSET($DS$3,0,0,'Données projet'!$E$14+1,1))-AVERAGE(OFFSET($H$3,0,0,'Données projet'!$E$14+1,1))</f>
        <v>225.28075317732998</v>
      </c>
      <c r="DU28" s="59">
        <f t="shared" si="44"/>
        <v>358.43407531256207</v>
      </c>
      <c r="DV28" s="15">
        <f>IF(ISNA(VLOOKUP(A28,'Données projet'!$A$165:$I$185,3,0)),0,VLOOKUP(A28,'Données projet'!$A$165:$I$185,3,0))</f>
        <v>5</v>
      </c>
      <c r="DW28" s="15">
        <f>IF(ISNA(VLOOKUP(A28,'Données projet'!$A$165:$I$185,4,0)),0,VLOOKUP(A28,'Données projet'!$A$165:$I$185,4,0))</f>
        <v>14</v>
      </c>
      <c r="DX28" s="16">
        <f>IF(ISNA(VLOOKUP(A28,'Données projet'!$A$165:$I$185,5,0)),0%,VLOOKUP(A28,'Données projet'!$A$165:$I$185,5,0)*VLOOKUP('Données projet'!$B$14,Paramètres!$A$1:$I$89,7,0))</f>
        <v>0.06</v>
      </c>
      <c r="DY28" s="16">
        <f>IF(ISNA(VLOOKUP(A28,'Données projet'!$A$165:$I$185,6,0)),0%,VLOOKUP(A28,'Données projet'!$A$165:$I$185,6,0)*VLOOKUP('Données projet'!$B$14,Paramètres!$A$1:$I$89,7,0))</f>
        <v>0.12</v>
      </c>
      <c r="DZ28" s="16">
        <f>IF(ISNA(VLOOKUP(A28,'Données projet'!$A$165:$I$185,7,0)),0%,VLOOKUP(A28,'Données projet'!$A$165:$I$185,7,0))</f>
        <v>0.4</v>
      </c>
      <c r="EA28" s="21">
        <f>EXP(-LN(2)/35)*EA27+(1-EXP(-LN(2)/35))/(LN(2)/35)*DW28*DX28*VLOOKUP('Données projet'!$B$14,Paramètres!$A$1:$I$89,3,0)*0.475*44/12</f>
        <v>1.3837518342222275</v>
      </c>
      <c r="EB28" s="21">
        <f>EXP(-LN(2)/25)*EB27+(1-EXP(-LN(2)/25))/(LN(2)/25)*Calculateur!DW28*Calculateur!DY28*VLOOKUP('Données projet'!$B$14,Paramètres!$A$1:$I$89,3,0)*0.475*44/12</f>
        <v>8.1802717868820576</v>
      </c>
      <c r="EC28" s="21">
        <f>EXP(-LN(2)/2)*EC27+(1-EXP(-LN(2)/2))/(LN(2)/2)*DW28*DZ28*VLOOKUP('Données projet'!$B$14,Paramètres!$A$1:$I$89,3,0)*0.475*44/12</f>
        <v>6.3767680269639513</v>
      </c>
      <c r="ED28" s="22">
        <f t="shared" si="18"/>
        <v>15.940791648068236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22.2</v>
      </c>
      <c r="EJ28" s="12">
        <f>IF('Données projet'!$A$192&gt;35,EJ27+EI28-ER27,IF(A28&lt;'Données projet'!$A$192,$EG$205^A28,IF(A28='Données projet'!$A$192,'Données projet'!$B$192,EJ27+EI28-ER27)))</f>
        <v>209.99999999999994</v>
      </c>
      <c r="EK28" s="17">
        <f>EJ28*VLOOKUP('Données projet'!$B$15,Paramètres!$A$1:$I$89,3,0)*VLOOKUP('Données projet'!$B$15,Paramètres!$A$1:$I$89,5,0)</f>
        <v>117.38999999999996</v>
      </c>
      <c r="EL28" s="13">
        <f t="shared" si="45"/>
        <v>31.065482772413461</v>
      </c>
      <c r="EM28" s="20">
        <f t="shared" si="19"/>
        <v>258.55996582862002</v>
      </c>
      <c r="EN28" s="59">
        <f t="shared" si="20"/>
        <v>551.89329916195334</v>
      </c>
      <c r="EO28" s="59">
        <f ca="1">AVERAGE(OFFSET($EN$3,0,0,'Données projet'!$E$15+1,1))-AVERAGE(OFFSET($H$3,0,0,'Données projet'!$E$15+1,1))</f>
        <v>326.31232746914907</v>
      </c>
      <c r="EP28" s="59">
        <f t="shared" si="46"/>
        <v>330.17137761430297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11.140227255395057</v>
      </c>
      <c r="EX28" s="21">
        <f>EXP(-LN(2)/2)*EX27+(1-EXP(-LN(2)/2))/(LN(2)/2)*ER28*EU28*VLOOKUP('Données projet'!$B$15,Paramètres!$A$1:$I$89,3,0)*0.475*44/12</f>
        <v>3.524381490434163</v>
      </c>
      <c r="EY28" s="22">
        <f t="shared" si="21"/>
        <v>14.66460874582922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16.5</v>
      </c>
      <c r="FE28" s="12">
        <f>IF('Données projet'!$A$218&gt;35,FE27+FD28-FM27,IF(A28&lt;'Données projet'!$A$218,$FB$205^A28,IF(A28='Données projet'!$A$218,'Données projet'!$B$218,FE27+FD28-FM27)))</f>
        <v>180.5</v>
      </c>
      <c r="FF28" s="17">
        <f>FE28*VLOOKUP('Données projet'!$B$16,Paramètres!$A$1:$I$89,3,0)*VLOOKUP('Données projet'!$B$16,Paramètres!$A$1:$I$89,5,0)</f>
        <v>112.63200000000001</v>
      </c>
      <c r="FG28" s="13">
        <f t="shared" si="47"/>
        <v>29.950248336286034</v>
      </c>
      <c r="FH28" s="20">
        <f t="shared" si="22"/>
        <v>248.33074918569818</v>
      </c>
      <c r="FI28" s="59">
        <f t="shared" si="23"/>
        <v>541.66408251903147</v>
      </c>
      <c r="FJ28" s="59">
        <f ca="1">AVERAGE(OFFSET($FI$3,0,0,'Données projet'!$E$16+1,1))-AVERAGE(OFFSET($H$3,0,0,'Données projet'!$E$16+1,1))</f>
        <v>255.41017495879987</v>
      </c>
      <c r="FK28" s="59">
        <f t="shared" si="48"/>
        <v>297.50513563712764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12.920106511844464</v>
      </c>
      <c r="FS28" s="21">
        <f>EXP(-LN(2)/2)*FS27+(1-EXP(-LN(2)/2))/(LN(2)/2)*FM28*FP28*VLOOKUP('Données projet'!$B$16,Paramètres!$A$1:$I$89,3,0)*0.475*44/12</f>
        <v>3.74685075394994</v>
      </c>
      <c r="FT28" s="22">
        <f t="shared" si="24"/>
        <v>16.666957265794405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15.8</v>
      </c>
      <c r="FZ28" s="12">
        <f>IF('Données projet'!$A$244&gt;35,FZ27+FY28-GH27,IF(A28&lt;'Données projet'!$A$244,$FW$205^A28,IF(A28='Données projet'!$A$244,'Données projet'!$B$244,FZ27+FY28-GH27)))</f>
        <v>178.00000000000006</v>
      </c>
      <c r="GA28" s="17">
        <f>FZ28*VLOOKUP('Données projet'!$B$17,Paramètres!$A$1:$I$89,3,0)*VLOOKUP('Données projet'!$B$17,Paramètres!$A$1:$I$89,5,0)</f>
        <v>106.44400000000003</v>
      </c>
      <c r="GB28" s="13">
        <f t="shared" si="49"/>
        <v>28.491567625901947</v>
      </c>
      <c r="GC28" s="20">
        <f t="shared" si="25"/>
        <v>235.01278028177921</v>
      </c>
      <c r="GD28" s="59">
        <f t="shared" si="26"/>
        <v>528.34611361511247</v>
      </c>
      <c r="GE28" s="59">
        <f ca="1">AVERAGE(OFFSET($GD$3,0,0,'Données projet'!$E$17+1,1))-AVERAGE(OFFSET($H$3,0,0,'Données projet'!$E$17+1,1))</f>
        <v>259.30247982593914</v>
      </c>
      <c r="GF28" s="59">
        <f t="shared" si="50"/>
        <v>275.24740346220779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3.5597585128988132</v>
      </c>
      <c r="GN28" s="21">
        <f>EXP(-LN(2)/2)*GN27+(1-EXP(-LN(2)/2))/(LN(2)/2)*GH28*GK28*VLOOKUP('Données projet'!$B$17,Paramètres!$A$1:$I$89,3,0)*0.475*44/12</f>
        <v>1.3764472561385543</v>
      </c>
      <c r="GO28" s="21">
        <f t="shared" si="27"/>
        <v>4.9362057690373673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12.2</v>
      </c>
      <c r="GU28" s="12">
        <f>IF('Données projet'!$A$270&gt;35,GU27+GT28-HC27,IF(A28&lt;'Données projet'!$A$270,$GR$205^A28,IF(A28='Données projet'!$A$270,'Données projet'!$B$270,GU27+GT28-HC27)))</f>
        <v>113.00000000000001</v>
      </c>
      <c r="GV28" s="17">
        <f>GU28*VLOOKUP('Données projet'!$B$18,Paramètres!$A$1:$I$89,3,0)*VLOOKUP('Données projet'!$B$18,Paramètres!$A$1:$I$89,5,0)</f>
        <v>89.902800000000013</v>
      </c>
      <c r="GW28" s="13">
        <f t="shared" si="51"/>
        <v>24.541781220398729</v>
      </c>
      <c r="GX28" s="20">
        <f t="shared" si="28"/>
        <v>199.32431229219446</v>
      </c>
      <c r="GY28" s="59">
        <f t="shared" si="29"/>
        <v>492.65764562552778</v>
      </c>
      <c r="GZ28" s="59">
        <f ca="1">AVERAGE(OFFSET($GY$3,0,0,'Données projet'!$E$18+1,1))-AVERAGE(OFFSET($H$3,0,0,'Données projet'!$E$18+1,1))</f>
        <v>199.58763537752952</v>
      </c>
      <c r="HA28" s="59">
        <f t="shared" si="52"/>
        <v>242.62852778451929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4.3451708905242192</v>
      </c>
      <c r="HI28" s="21">
        <f>EXP(-LN(2)/2)*HI27+(1-EXP(-LN(2)/2))/(LN(2)/2)*HC28*HF28*VLOOKUP('Données projet'!$B$18,Paramètres!$A$1:$I$89,3,0)*0.475*44/12</f>
        <v>1.4265353651757324</v>
      </c>
      <c r="HJ28" s="22">
        <f t="shared" si="30"/>
        <v>5.7717062556999519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6.3</v>
      </c>
      <c r="N29" s="13">
        <f>IF('Données projet'!$A$36&gt;35,N28+M29-V28,IF(A29&lt;'Données projet'!$A$36,$K$205^A29,IF(A29='Données projet'!$A$36,'Données projet'!$B$36,N28+M29-V28)))</f>
        <v>79.799999999999983</v>
      </c>
      <c r="O29" s="13">
        <f>N29*VLOOKUP('Données projet'!$B$9,Paramètres!$A$1:$I$89,3,0)*VLOOKUP('Données projet'!$B$9,Paramètres!$A$1:$I$89,5,0)</f>
        <v>72.203039999999973</v>
      </c>
      <c r="P29" s="13">
        <f t="shared" si="33"/>
        <v>20.219559499787128</v>
      </c>
      <c r="Q29" s="20">
        <f t="shared" si="2"/>
        <v>160.96936079546251</v>
      </c>
      <c r="R29" s="59">
        <f t="shared" si="0"/>
        <v>454.30269412879579</v>
      </c>
      <c r="S29" s="59">
        <f ca="1">AVERAGE(OFFSET($R$3,0,0,'Données projet'!$E$9+1,1))-AVERAGE(OFFSET($H$3,0,0,'Données projet'!$E$9+1,1))</f>
        <v>237.22177246688199</v>
      </c>
      <c r="T29" s="59">
        <f t="shared" si="34"/>
        <v>149.27472147904302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6.3</v>
      </c>
      <c r="AI29" s="13">
        <f>IF('Données projet'!$A$62&gt;35,AI28+AH29-AQ28,IF(A29&lt;'Données projet'!$A$62,$AF$205^A29,IF(A29='Données projet'!$A$62,'Données projet'!$B$62,AI28+AH29-AQ28)))</f>
        <v>79.799999999999983</v>
      </c>
      <c r="AJ29" s="13">
        <f>AI29*VLOOKUP('Données projet'!$B$10,Paramètres!$A$1:$I$89,3,0)*VLOOKUP('Données projet'!$B$10,Paramètres!$A$1:$I$89,5,0)</f>
        <v>80.917199999999994</v>
      </c>
      <c r="AK29" s="13">
        <f t="shared" si="35"/>
        <v>22.361295290994434</v>
      </c>
      <c r="AL29" s="20">
        <f t="shared" si="4"/>
        <v>179.87671263181528</v>
      </c>
      <c r="AM29" s="59">
        <f t="shared" si="5"/>
        <v>473.21004596514859</v>
      </c>
      <c r="AN29" s="59">
        <f ca="1">AVERAGE(OFFSET($AM$3,0,0,'Données projet'!$E$10+1,1))-AVERAGE(OFFSET($H$3,0,0,'Données projet'!$E$10+1,1))</f>
        <v>279.20364724206644</v>
      </c>
      <c r="AO29" s="59">
        <f t="shared" si="36"/>
        <v>173.99850582760712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200.69999999999993</v>
      </c>
      <c r="BE29" s="13">
        <f>BD29*VLOOKUP('Données projet'!$B$11,Paramètres!$A$1:$I$89,3,0)*VLOOKUP('Données projet'!$B$11,Paramètres!$A$1:$I$89,5,0)</f>
        <v>93.927599999999956</v>
      </c>
      <c r="BF29" s="13">
        <f t="shared" si="37"/>
        <v>25.510099877901624</v>
      </c>
      <c r="BG29" s="20">
        <f t="shared" si="7"/>
        <v>208.02066062067857</v>
      </c>
      <c r="BH29" s="59">
        <f t="shared" si="8"/>
        <v>501.35399395401191</v>
      </c>
      <c r="BI29" s="59">
        <f ca="1">AVERAGE(OFFSET($BH$3,0,0,'Données projet'!$E$11+1,1))-AVERAGE(OFFSET($H$3,0,0,'Données projet'!$E$11+1,1))</f>
        <v>215.23235148064941</v>
      </c>
      <c r="BJ29" s="59">
        <f t="shared" si="38"/>
        <v>184.07239726900434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1.7999330822686364</v>
      </c>
      <c r="BR29" s="21">
        <f>EXP(-LN(2)/2)*BR28+(1-EXP(-LN(2)/2))/(LN(2)/2)*BL29*BO29*VLOOKUP('Données projet'!$B$11,Paramètres!$A$1:$I$89,3,0)*0.475*44/12</f>
        <v>0.4139724337831141</v>
      </c>
      <c r="BS29" s="22">
        <f t="shared" si="9"/>
        <v>2.2139055160517502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6.3</v>
      </c>
      <c r="BY29" s="12">
        <f>IF('Données projet'!$A$114&gt;35,BY28+BX29-CG28,IF(A29&lt;'Données projet'!$A$114,$BV$205^A29,IF(A29='Données projet'!$A$114,'Données projet'!$B$114,BY28+BX29-CG28)))</f>
        <v>79.799999999999983</v>
      </c>
      <c r="BZ29" s="13">
        <f>BY29*VLOOKUP('Données projet'!$B$12,Paramètres!$A$1:$I$89,3,0)*VLOOKUP('Données projet'!$B$12,Paramètres!$A$1:$I$89,5,0)</f>
        <v>85.896719999999974</v>
      </c>
      <c r="CA29" s="13">
        <f t="shared" si="39"/>
        <v>23.572941115591171</v>
      </c>
      <c r="CB29" s="20">
        <f t="shared" si="10"/>
        <v>190.65965977632126</v>
      </c>
      <c r="CC29" s="59">
        <f t="shared" si="11"/>
        <v>483.99299310965455</v>
      </c>
      <c r="CD29" s="59">
        <f ca="1">AVERAGE(OFFSET($CC$3,0,0,'Données projet'!$E$12+1,1))-AVERAGE(OFFSET($H$3,0,0,'Données projet'!$E$12+1,1))</f>
        <v>303.1504619632214</v>
      </c>
      <c r="CE29" s="59">
        <f t="shared" si="40"/>
        <v>188.09929616366503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12.2</v>
      </c>
      <c r="CT29" s="12">
        <f>IF('Données projet'!$A$140&gt;35,CT28+CS29-DB28,IF(A29&lt;'Données projet'!$A$140,$CQ$205^A29,IF(A29='Données projet'!$A$140,'Données projet'!$B$140,CT28+CS29-DB28)))</f>
        <v>125.20000000000002</v>
      </c>
      <c r="CU29" s="17">
        <f>CT29*VLOOKUP('Données projet'!$B$13,Paramètres!$A$1:$I$89,3,0)*VLOOKUP('Données projet'!$B$13,Paramètres!$A$1:$I$89,5,0)</f>
        <v>83.984160000000017</v>
      </c>
      <c r="CV29" s="13">
        <f t="shared" si="41"/>
        <v>23.108559407837603</v>
      </c>
      <c r="CW29" s="20">
        <f t="shared" si="13"/>
        <v>186.51981963531719</v>
      </c>
      <c r="CX29" s="59">
        <f t="shared" si="14"/>
        <v>479.85315296865053</v>
      </c>
      <c r="CY29" s="59">
        <f ca="1">AVERAGE(OFFSET($CX$3,0,0,'Données projet'!$E$13+1,1))-AVERAGE(OFFSET($H$3,0,0,'Données projet'!$E$13+1,1))</f>
        <v>156.63226020379989</v>
      </c>
      <c r="CZ29" s="59">
        <f t="shared" si="42"/>
        <v>196.0481096619543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3.5633947931935257</v>
      </c>
      <c r="DH29" s="21">
        <f>EXP(-LN(2)/2)*DH28+(1-EXP(-LN(2)/2))/(LN(2)/2)*DB29*DE29*VLOOKUP('Données projet'!$B$13,Paramètres!$A$1:$I$89,3,0)*0.475*44/12</f>
        <v>0.85048336673886471</v>
      </c>
      <c r="DI29" s="22">
        <f t="shared" si="15"/>
        <v>4.4138781599323904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6.8</v>
      </c>
      <c r="DO29" s="12">
        <f>IF('Données projet'!$A$166&gt;35,DO28+DN29-DW28,IF(A29&lt;'Données projet'!$A$166,$DL$205^A29,IF(A29='Données projet'!$A$166,'Données projet'!$B$166,DO28+DN29-DW28)))</f>
        <v>185.79999999999993</v>
      </c>
      <c r="DP29" s="17">
        <f>DO29*VLOOKUP('Données projet'!$B$14,Paramètres!$A$1:$I$89,3,0)*VLOOKUP('Données projet'!$B$14,Paramètres!$A$1:$I$89,5,0)</f>
        <v>168.11183999999994</v>
      </c>
      <c r="DQ29" s="13">
        <f t="shared" si="43"/>
        <v>42.666864059506466</v>
      </c>
      <c r="DR29" s="20">
        <f t="shared" si="16"/>
        <v>367.10624290364035</v>
      </c>
      <c r="DS29" s="59">
        <f t="shared" si="17"/>
        <v>660.43957623697361</v>
      </c>
      <c r="DT29" s="59">
        <f ca="1">AVERAGE(OFFSET($DS$3,0,0,'Données projet'!$E$14+1,1))-AVERAGE(OFFSET($H$3,0,0,'Données projet'!$E$14+1,1))</f>
        <v>225.28075317732998</v>
      </c>
      <c r="DU29" s="59">
        <f t="shared" si="44"/>
        <v>358.43407531256207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1.3566173047584098</v>
      </c>
      <c r="EB29" s="21">
        <f>EXP(-LN(2)/25)*EB28+(1-EXP(-LN(2)/25))/(LN(2)/25)*Calculateur!DW29*Calculateur!DY29*VLOOKUP('Données projet'!$B$14,Paramètres!$A$1:$I$89,3,0)*0.475*44/12</f>
        <v>7.9565818246879711</v>
      </c>
      <c r="EC29" s="21">
        <f>EXP(-LN(2)/2)*EC28+(1-EXP(-LN(2)/2))/(LN(2)/2)*DW29*DZ29*VLOOKUP('Données projet'!$B$14,Paramètres!$A$1:$I$89,3,0)*0.475*44/12</f>
        <v>4.509055913919771</v>
      </c>
      <c r="ED29" s="22">
        <f t="shared" si="18"/>
        <v>13.822255043366152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22.2</v>
      </c>
      <c r="EJ29" s="12">
        <f>IF('Données projet'!$A$192&gt;35,EJ28+EI29-ER28,IF(A29&lt;'Données projet'!$A$192,$EG$205^A29,IF(A29='Données projet'!$A$192,'Données projet'!$B$192,EJ28+EI29-ER28)))</f>
        <v>232.19999999999993</v>
      </c>
      <c r="EK29" s="17">
        <f>EJ29*VLOOKUP('Données projet'!$B$15,Paramètres!$A$1:$I$89,3,0)*VLOOKUP('Données projet'!$B$15,Paramètres!$A$1:$I$89,5,0)</f>
        <v>129.79979999999998</v>
      </c>
      <c r="EL29" s="13">
        <f t="shared" si="45"/>
        <v>33.950094841766401</v>
      </c>
      <c r="EM29" s="20">
        <f t="shared" si="19"/>
        <v>285.19773351607643</v>
      </c>
      <c r="EN29" s="59">
        <f t="shared" si="20"/>
        <v>578.53106684940974</v>
      </c>
      <c r="EO29" s="59">
        <f ca="1">AVERAGE(OFFSET($EN$3,0,0,'Données projet'!$E$15+1,1))-AVERAGE(OFFSET($H$3,0,0,'Données projet'!$E$15+1,1))</f>
        <v>326.31232746914907</v>
      </c>
      <c r="EP29" s="59">
        <f t="shared" si="46"/>
        <v>330.17137761430297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10.83559715525719</v>
      </c>
      <c r="EX29" s="21">
        <f>EXP(-LN(2)/2)*EX28+(1-EXP(-LN(2)/2))/(LN(2)/2)*ER29*EU29*VLOOKUP('Données projet'!$B$15,Paramètres!$A$1:$I$89,3,0)*0.475*44/12</f>
        <v>2.4921140513743483</v>
      </c>
      <c r="EY29" s="22">
        <f t="shared" si="21"/>
        <v>13.327711206631538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16.5</v>
      </c>
      <c r="FE29" s="12">
        <f>IF('Données projet'!$A$218&gt;35,FE28+FD29-FM28,IF(A29&lt;'Données projet'!$A$218,$FB$205^A29,IF(A29='Données projet'!$A$218,'Données projet'!$B$218,FE28+FD29-FM28)))</f>
        <v>197</v>
      </c>
      <c r="FF29" s="17">
        <f>FE29*VLOOKUP('Données projet'!$B$16,Paramètres!$A$1:$I$89,3,0)*VLOOKUP('Données projet'!$B$16,Paramètres!$A$1:$I$89,5,0)</f>
        <v>122.92800000000001</v>
      </c>
      <c r="FG29" s="13">
        <f t="shared" si="47"/>
        <v>32.356946120737945</v>
      </c>
      <c r="FH29" s="20">
        <f t="shared" si="22"/>
        <v>270.45461449361864</v>
      </c>
      <c r="FI29" s="59">
        <f t="shared" si="23"/>
        <v>563.78794782695195</v>
      </c>
      <c r="FJ29" s="59">
        <f ca="1">AVERAGE(OFFSET($FI$3,0,0,'Données projet'!$E$16+1,1))-AVERAGE(OFFSET($H$3,0,0,'Données projet'!$E$16+1,1))</f>
        <v>255.41017495879987</v>
      </c>
      <c r="FK29" s="59">
        <f t="shared" si="48"/>
        <v>297.50513563712764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12.566805519839205</v>
      </c>
      <c r="FS29" s="21">
        <f>EXP(-LN(2)/2)*FS28+(1-EXP(-LN(2)/2))/(LN(2)/2)*FM29*FP29*VLOOKUP('Données projet'!$B$16,Paramètres!$A$1:$I$89,3,0)*0.475*44/12</f>
        <v>2.6494235762119311</v>
      </c>
      <c r="FT29" s="22">
        <f t="shared" si="24"/>
        <v>15.216229096051137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15.8</v>
      </c>
      <c r="FZ29" s="12">
        <f>IF('Données projet'!$A$244&gt;35,FZ28+FY29-GH28,IF(A29&lt;'Données projet'!$A$244,$FW$205^A29,IF(A29='Données projet'!$A$244,'Données projet'!$B$244,FZ28+FY29-GH28)))</f>
        <v>193.80000000000007</v>
      </c>
      <c r="GA29" s="17">
        <f>FZ29*VLOOKUP('Données projet'!$B$17,Paramètres!$A$1:$I$89,3,0)*VLOOKUP('Données projet'!$B$17,Paramètres!$A$1:$I$89,5,0)</f>
        <v>115.89240000000005</v>
      </c>
      <c r="GB29" s="13">
        <f t="shared" si="49"/>
        <v>30.715035712541134</v>
      </c>
      <c r="GC29" s="20">
        <f t="shared" si="25"/>
        <v>255.34128386600921</v>
      </c>
      <c r="GD29" s="59">
        <f t="shared" si="26"/>
        <v>548.67461719934249</v>
      </c>
      <c r="GE29" s="59">
        <f ca="1">AVERAGE(OFFSET($GD$3,0,0,'Données projet'!$E$17+1,1))-AVERAGE(OFFSET($H$3,0,0,'Données projet'!$E$17+1,1))</f>
        <v>259.30247982593914</v>
      </c>
      <c r="GF29" s="59">
        <f t="shared" si="50"/>
        <v>275.24740346220779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3.4624167291640311</v>
      </c>
      <c r="GN29" s="21">
        <f>EXP(-LN(2)/2)*GN28+(1-EXP(-LN(2)/2))/(LN(2)/2)*GH29*GK29*VLOOKUP('Données projet'!$B$17,Paramètres!$A$1:$I$89,3,0)*0.475*44/12</f>
        <v>0.97329518876118859</v>
      </c>
      <c r="GO29" s="21">
        <f t="shared" si="27"/>
        <v>4.4357119179252198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12.2</v>
      </c>
      <c r="GU29" s="12">
        <f>IF('Données projet'!$A$270&gt;35,GU28+GT29-HC28,IF(A29&lt;'Données projet'!$A$270,$GR$205^A29,IF(A29='Données projet'!$A$270,'Données projet'!$B$270,GU28+GT29-HC28)))</f>
        <v>125.20000000000002</v>
      </c>
      <c r="GV29" s="17">
        <f>GU29*VLOOKUP('Données projet'!$B$18,Paramètres!$A$1:$I$89,3,0)*VLOOKUP('Données projet'!$B$18,Paramètres!$A$1:$I$89,5,0)</f>
        <v>99.609120000000019</v>
      </c>
      <c r="GW29" s="13">
        <f t="shared" si="51"/>
        <v>26.868854563103099</v>
      </c>
      <c r="GX29" s="20">
        <f t="shared" si="28"/>
        <v>220.28247236407125</v>
      </c>
      <c r="GY29" s="59">
        <f t="shared" si="29"/>
        <v>513.61580569740454</v>
      </c>
      <c r="GZ29" s="59">
        <f ca="1">AVERAGE(OFFSET($GY$3,0,0,'Données projet'!$E$18+1,1))-AVERAGE(OFFSET($H$3,0,0,'Données projet'!$E$18+1,1))</f>
        <v>199.58763537752952</v>
      </c>
      <c r="HA29" s="59">
        <f t="shared" si="52"/>
        <v>242.62852778451929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4.2263519640202283</v>
      </c>
      <c r="HI29" s="21">
        <f>EXP(-LN(2)/2)*HI28+(1-EXP(-LN(2)/2))/(LN(2)/2)*HC29*HF29*VLOOKUP('Données projet'!$B$18,Paramètres!$A$1:$I$89,3,0)*0.475*44/12</f>
        <v>1.0087128303181883</v>
      </c>
      <c r="HJ29" s="22">
        <f t="shared" si="30"/>
        <v>5.2350647943384168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6.3</v>
      </c>
      <c r="N30" s="13">
        <f>IF('Données projet'!$A$36&gt;35,N29+M30-V29,IF(A30&lt;'Données projet'!$A$36,$K$205^A30,IF(A30='Données projet'!$A$36,'Données projet'!$B$36,N29+M30-V29)))</f>
        <v>86.09999999999998</v>
      </c>
      <c r="O30" s="13">
        <f>N30*VLOOKUP('Données projet'!$B$9,Paramètres!$A$1:$I$89,3,0)*VLOOKUP('Données projet'!$B$9,Paramètres!$A$1:$I$89,5,0)</f>
        <v>77.903279999999981</v>
      </c>
      <c r="P30" s="13">
        <f t="shared" si="33"/>
        <v>21.623735462576285</v>
      </c>
      <c r="Q30" s="20">
        <f t="shared" si="2"/>
        <v>173.342885263987</v>
      </c>
      <c r="R30" s="59">
        <f t="shared" si="0"/>
        <v>466.67621859732031</v>
      </c>
      <c r="S30" s="59">
        <f ca="1">AVERAGE(OFFSET($R$3,0,0,'Données projet'!$E$9+1,1))-AVERAGE(OFFSET($H$3,0,0,'Données projet'!$E$9+1,1))</f>
        <v>237.22177246688199</v>
      </c>
      <c r="T30" s="59">
        <f t="shared" si="34"/>
        <v>149.27472147904302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6.3</v>
      </c>
      <c r="AI30" s="13">
        <f>IF('Données projet'!$A$62&gt;35,AI29+AH30-AQ29,IF(A30&lt;'Données projet'!$A$62,$AF$205^A30,IF(A30='Données projet'!$A$62,'Données projet'!$B$62,AI29+AH30-AQ29)))</f>
        <v>86.09999999999998</v>
      </c>
      <c r="AJ30" s="13">
        <f>AI30*VLOOKUP('Données projet'!$B$10,Paramètres!$A$1:$I$89,3,0)*VLOOKUP('Données projet'!$B$10,Paramètres!$A$1:$I$89,5,0)</f>
        <v>87.305399999999992</v>
      </c>
      <c r="AK30" s="13">
        <f t="shared" si="35"/>
        <v>23.914207130877781</v>
      </c>
      <c r="AL30" s="20">
        <f t="shared" si="4"/>
        <v>193.70748241961212</v>
      </c>
      <c r="AM30" s="59">
        <f t="shared" si="5"/>
        <v>487.04081575294543</v>
      </c>
      <c r="AN30" s="59">
        <f ca="1">AVERAGE(OFFSET($AM$3,0,0,'Données projet'!$E$10+1,1))-AVERAGE(OFFSET($H$3,0,0,'Données projet'!$E$10+1,1))</f>
        <v>279.20364724206644</v>
      </c>
      <c r="AO30" s="59">
        <f t="shared" si="36"/>
        <v>173.99850582760712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209.89999999999992</v>
      </c>
      <c r="BE30" s="13">
        <f>BD30*VLOOKUP('Données projet'!$B$11,Paramètres!$A$1:$I$89,3,0)*VLOOKUP('Données projet'!$B$11,Paramètres!$A$1:$I$89,5,0)</f>
        <v>98.233199999999954</v>
      </c>
      <c r="BF30" s="13">
        <f t="shared" si="37"/>
        <v>26.540646121089583</v>
      </c>
      <c r="BG30" s="20">
        <f t="shared" si="7"/>
        <v>217.3144486608976</v>
      </c>
      <c r="BH30" s="59">
        <f t="shared" si="8"/>
        <v>510.64778199423091</v>
      </c>
      <c r="BI30" s="59">
        <f ca="1">AVERAGE(OFFSET($BH$3,0,0,'Données projet'!$E$11+1,1))-AVERAGE(OFFSET($H$3,0,0,'Données projet'!$E$11+1,1))</f>
        <v>215.23235148064941</v>
      </c>
      <c r="BJ30" s="59">
        <f t="shared" si="38"/>
        <v>184.07239726900434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1.7507138174796335</v>
      </c>
      <c r="BR30" s="21">
        <f>EXP(-LN(2)/2)*BR29+(1-EXP(-LN(2)/2))/(LN(2)/2)*BL30*BO30*VLOOKUP('Données projet'!$B$11,Paramètres!$A$1:$I$89,3,0)*0.475*44/12</f>
        <v>0.292722715152339</v>
      </c>
      <c r="BS30" s="22">
        <f t="shared" si="9"/>
        <v>2.0434365326319726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6.3</v>
      </c>
      <c r="BY30" s="12">
        <f>IF('Données projet'!$A$114&gt;35,BY29+BX30-CG29,IF(A30&lt;'Données projet'!$A$114,$BV$205^A30,IF(A30='Données projet'!$A$114,'Données projet'!$B$114,BY29+BX30-CG29)))</f>
        <v>86.09999999999998</v>
      </c>
      <c r="BZ30" s="13">
        <f>BY30*VLOOKUP('Données projet'!$B$12,Paramètres!$A$1:$I$89,3,0)*VLOOKUP('Données projet'!$B$12,Paramètres!$A$1:$I$89,5,0)</f>
        <v>92.678039999999982</v>
      </c>
      <c r="CA30" s="13">
        <f t="shared" si="39"/>
        <v>25.209997416798242</v>
      </c>
      <c r="CB30" s="20">
        <f t="shared" si="10"/>
        <v>205.32166516759025</v>
      </c>
      <c r="CC30" s="59">
        <f t="shared" si="11"/>
        <v>498.65499850092357</v>
      </c>
      <c r="CD30" s="59">
        <f ca="1">AVERAGE(OFFSET($CC$3,0,0,'Données projet'!$E$12+1,1))-AVERAGE(OFFSET($H$3,0,0,'Données projet'!$E$12+1,1))</f>
        <v>303.1504619632214</v>
      </c>
      <c r="CE30" s="59">
        <f t="shared" si="40"/>
        <v>188.09929616366503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12.2</v>
      </c>
      <c r="CT30" s="12">
        <f>IF('Données projet'!$A$140&gt;35,CT29+CS30-DB29,IF(A30&lt;'Données projet'!$A$140,$CQ$205^A30,IF(A30='Données projet'!$A$140,'Données projet'!$B$140,CT29+CS30-DB29)))</f>
        <v>137.4</v>
      </c>
      <c r="CU30" s="17">
        <f>CT30*VLOOKUP('Données projet'!$B$13,Paramètres!$A$1:$I$89,3,0)*VLOOKUP('Données projet'!$B$13,Paramètres!$A$1:$I$89,5,0)</f>
        <v>92.167920000000009</v>
      </c>
      <c r="CV30" s="13">
        <f t="shared" si="41"/>
        <v>25.087348587680737</v>
      </c>
      <c r="CW30" s="20">
        <f t="shared" si="13"/>
        <v>204.21959279021061</v>
      </c>
      <c r="CX30" s="59">
        <f t="shared" si="14"/>
        <v>497.5529261235439</v>
      </c>
      <c r="CY30" s="59">
        <f ca="1">AVERAGE(OFFSET($CX$3,0,0,'Données projet'!$E$13+1,1))-AVERAGE(OFFSET($H$3,0,0,'Données projet'!$E$13+1,1))</f>
        <v>156.63226020379989</v>
      </c>
      <c r="CZ30" s="59">
        <f t="shared" si="42"/>
        <v>196.0481096619543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3.4659535751828607</v>
      </c>
      <c r="DH30" s="21">
        <f>EXP(-LN(2)/2)*DH29+(1-EXP(-LN(2)/2))/(LN(2)/2)*DB30*DE30*VLOOKUP('Données projet'!$B$13,Paramètres!$A$1:$I$89,3,0)*0.475*44/12</f>
        <v>0.60138255590741674</v>
      </c>
      <c r="DI30" s="22">
        <f t="shared" si="15"/>
        <v>4.0673361310902774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6.8</v>
      </c>
      <c r="DO30" s="12">
        <f>IF('Données projet'!$A$166&gt;35,DO29+DN30-DW29,IF(A30&lt;'Données projet'!$A$166,$DL$205^A30,IF(A30='Données projet'!$A$166,'Données projet'!$B$166,DO29+DN30-DW29)))</f>
        <v>192.59999999999994</v>
      </c>
      <c r="DP30" s="17">
        <f>DO30*VLOOKUP('Données projet'!$B$14,Paramètres!$A$1:$I$89,3,0)*VLOOKUP('Données projet'!$B$14,Paramètres!$A$1:$I$89,5,0)</f>
        <v>174.26447999999993</v>
      </c>
      <c r="DQ30" s="13">
        <f t="shared" si="43"/>
        <v>44.043743683739521</v>
      </c>
      <c r="DR30" s="20">
        <f t="shared" si="16"/>
        <v>380.22015624917958</v>
      </c>
      <c r="DS30" s="59">
        <f t="shared" si="17"/>
        <v>673.55348958251284</v>
      </c>
      <c r="DT30" s="59">
        <f ca="1">AVERAGE(OFFSET($DS$3,0,0,'Données projet'!$E$14+1,1))-AVERAGE(OFFSET($H$3,0,0,'Données projet'!$E$14+1,1))</f>
        <v>225.28075317732998</v>
      </c>
      <c r="DU30" s="59">
        <f t="shared" si="44"/>
        <v>358.43407531256207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1.3300148668669489</v>
      </c>
      <c r="EB30" s="21">
        <f>EXP(-LN(2)/25)*EB29+(1-EXP(-LN(2)/25))/(LN(2)/25)*Calculateur!DW30*Calculateur!DY30*VLOOKUP('Données projet'!$B$14,Paramètres!$A$1:$I$89,3,0)*0.475*44/12</f>
        <v>7.7390086762734258</v>
      </c>
      <c r="EC30" s="21">
        <f>EXP(-LN(2)/2)*EC29+(1-EXP(-LN(2)/2))/(LN(2)/2)*DW30*DZ30*VLOOKUP('Données projet'!$B$14,Paramètres!$A$1:$I$89,3,0)*0.475*44/12</f>
        <v>3.1883840134819756</v>
      </c>
      <c r="ED30" s="22">
        <f t="shared" si="18"/>
        <v>12.257407556622351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22.2</v>
      </c>
      <c r="EJ30" s="12">
        <f>IF('Données projet'!$A$192&gt;35,EJ29+EI30-ER29,IF(A30&lt;'Données projet'!$A$192,$EG$205^A30,IF(A30='Données projet'!$A$192,'Données projet'!$B$192,EJ29+EI30-ER29)))</f>
        <v>254.39999999999992</v>
      </c>
      <c r="EK30" s="17">
        <f>EJ30*VLOOKUP('Données projet'!$B$15,Paramètres!$A$1:$I$89,3,0)*VLOOKUP('Données projet'!$B$15,Paramètres!$A$1:$I$89,5,0)</f>
        <v>142.20959999999997</v>
      </c>
      <c r="EL30" s="13">
        <f t="shared" si="45"/>
        <v>36.802731569585617</v>
      </c>
      <c r="EM30" s="20">
        <f t="shared" si="19"/>
        <v>311.77981081702814</v>
      </c>
      <c r="EN30" s="59">
        <f t="shared" si="20"/>
        <v>605.11314415036145</v>
      </c>
      <c r="EO30" s="59">
        <f ca="1">AVERAGE(OFFSET($EN$3,0,0,'Données projet'!$E$15+1,1))-AVERAGE(OFFSET($H$3,0,0,'Données projet'!$E$15+1,1))</f>
        <v>326.31232746914907</v>
      </c>
      <c r="EP30" s="59">
        <f t="shared" si="46"/>
        <v>330.17137761430297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10.539297181227393</v>
      </c>
      <c r="EX30" s="21">
        <f>EXP(-LN(2)/2)*EX29+(1-EXP(-LN(2)/2))/(LN(2)/2)*ER30*EU30*VLOOKUP('Données projet'!$B$15,Paramètres!$A$1:$I$89,3,0)*0.475*44/12</f>
        <v>1.762190745217082</v>
      </c>
      <c r="EY30" s="22">
        <f t="shared" si="21"/>
        <v>12.301487926444475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16.5</v>
      </c>
      <c r="FE30" s="12">
        <f>IF('Données projet'!$A$218&gt;35,FE29+FD30-FM29,IF(A30&lt;'Données projet'!$A$218,$FB$205^A30,IF(A30='Données projet'!$A$218,'Données projet'!$B$218,FE29+FD30-FM29)))</f>
        <v>213.5</v>
      </c>
      <c r="FF30" s="17">
        <f>FE30*VLOOKUP('Données projet'!$B$16,Paramètres!$A$1:$I$89,3,0)*VLOOKUP('Données projet'!$B$16,Paramètres!$A$1:$I$89,5,0)</f>
        <v>133.22399999999999</v>
      </c>
      <c r="FG30" s="13">
        <f t="shared" si="47"/>
        <v>34.740265606230608</v>
      </c>
      <c r="FH30" s="20">
        <f t="shared" si="22"/>
        <v>292.53776259751828</v>
      </c>
      <c r="FI30" s="59">
        <f t="shared" si="23"/>
        <v>585.87109593085165</v>
      </c>
      <c r="FJ30" s="59">
        <f ca="1">AVERAGE(OFFSET($FI$3,0,0,'Données projet'!$E$16+1,1))-AVERAGE(OFFSET($H$3,0,0,'Données projet'!$E$16+1,1))</f>
        <v>255.41017495879987</v>
      </c>
      <c r="FK30" s="59">
        <f t="shared" si="48"/>
        <v>297.50513563712764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12.223165562039622</v>
      </c>
      <c r="FS30" s="21">
        <f>EXP(-LN(2)/2)*FS29+(1-EXP(-LN(2)/2))/(LN(2)/2)*FM30*FP30*VLOOKUP('Données projet'!$B$16,Paramètres!$A$1:$I$89,3,0)*0.475*44/12</f>
        <v>1.8734253769749702</v>
      </c>
      <c r="FT30" s="22">
        <f t="shared" si="24"/>
        <v>14.096590939014591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15.8</v>
      </c>
      <c r="FZ30" s="12">
        <f>IF('Données projet'!$A$244&gt;35,FZ29+FY30-GH29,IF(A30&lt;'Données projet'!$A$244,$FW$205^A30,IF(A30='Données projet'!$A$244,'Données projet'!$B$244,FZ29+FY30-GH29)))</f>
        <v>209.60000000000008</v>
      </c>
      <c r="GA30" s="17">
        <f>FZ30*VLOOKUP('Données projet'!$B$17,Paramètres!$A$1:$I$89,3,0)*VLOOKUP('Données projet'!$B$17,Paramètres!$A$1:$I$89,5,0)</f>
        <v>125.34080000000006</v>
      </c>
      <c r="GB30" s="13">
        <f t="shared" si="49"/>
        <v>32.917478801659229</v>
      </c>
      <c r="GC30" s="20">
        <f t="shared" si="25"/>
        <v>275.63316891288991</v>
      </c>
      <c r="GD30" s="59">
        <f t="shared" si="26"/>
        <v>568.96650224622317</v>
      </c>
      <c r="GE30" s="59">
        <f ca="1">AVERAGE(OFFSET($GD$3,0,0,'Données projet'!$E$17+1,1))-AVERAGE(OFFSET($H$3,0,0,'Données projet'!$E$17+1,1))</f>
        <v>259.30247982593914</v>
      </c>
      <c r="GF30" s="59">
        <f t="shared" si="50"/>
        <v>275.24740346220779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3.3677367616244585</v>
      </c>
      <c r="GN30" s="21">
        <f>EXP(-LN(2)/2)*GN29+(1-EXP(-LN(2)/2))/(LN(2)/2)*GH30*GK30*VLOOKUP('Données projet'!$B$17,Paramètres!$A$1:$I$89,3,0)*0.475*44/12</f>
        <v>0.68822362806927728</v>
      </c>
      <c r="GO30" s="21">
        <f t="shared" si="27"/>
        <v>4.0559603896937357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12.2</v>
      </c>
      <c r="GU30" s="12">
        <f>IF('Données projet'!$A$270&gt;35,GU29+GT30-HC29,IF(A30&lt;'Données projet'!$A$270,$GR$205^A30,IF(A30='Données projet'!$A$270,'Données projet'!$B$270,GU29+GT30-HC29)))</f>
        <v>137.4</v>
      </c>
      <c r="GV30" s="17">
        <f>GU30*VLOOKUP('Données projet'!$B$18,Paramètres!$A$1:$I$89,3,0)*VLOOKUP('Données projet'!$B$18,Paramètres!$A$1:$I$89,5,0)</f>
        <v>109.31544</v>
      </c>
      <c r="GW30" s="13">
        <f t="shared" si="51"/>
        <v>29.169638343948144</v>
      </c>
      <c r="GX30" s="20">
        <f t="shared" si="28"/>
        <v>241.19484478237635</v>
      </c>
      <c r="GY30" s="59">
        <f t="shared" si="29"/>
        <v>534.52817811570969</v>
      </c>
      <c r="GZ30" s="59">
        <f ca="1">AVERAGE(OFFSET($GY$3,0,0,'Données projet'!$E$18+1,1))-AVERAGE(OFFSET($H$3,0,0,'Données projet'!$E$18+1,1))</f>
        <v>199.58763537752952</v>
      </c>
      <c r="HA30" s="59">
        <f t="shared" si="52"/>
        <v>242.62852778451929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4.1107821473099051</v>
      </c>
      <c r="HI30" s="21">
        <f>EXP(-LN(2)/2)*HI29+(1-EXP(-LN(2)/2))/(LN(2)/2)*HC30*HF30*VLOOKUP('Données projet'!$B$18,Paramètres!$A$1:$I$89,3,0)*0.475*44/12</f>
        <v>0.71326768258786621</v>
      </c>
      <c r="HJ30" s="22">
        <f t="shared" si="30"/>
        <v>4.8240498298977714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6.3</v>
      </c>
      <c r="N31" s="13">
        <f>IF('Données projet'!$A$36&gt;35,N30+M31-V30,IF(A31&lt;'Données projet'!$A$36,$K$205^A31,IF(A31='Données projet'!$A$36,'Données projet'!$B$36,N30+M31-V30)))</f>
        <v>92.399999999999977</v>
      </c>
      <c r="O31" s="13">
        <f>N31*VLOOKUP('Données projet'!$B$9,Paramètres!$A$1:$I$89,3,0)*VLOOKUP('Données projet'!$B$9,Paramètres!$A$1:$I$89,5,0)</f>
        <v>83.603519999999975</v>
      </c>
      <c r="P31" s="13">
        <f t="shared" si="33"/>
        <v>23.015991519299678</v>
      </c>
      <c r="Q31" s="20">
        <f t="shared" si="2"/>
        <v>185.69564922944687</v>
      </c>
      <c r="R31" s="59">
        <f t="shared" si="0"/>
        <v>479.02898256278019</v>
      </c>
      <c r="S31" s="59">
        <f ca="1">AVERAGE(OFFSET($R$3,0,0,'Données projet'!$E$9+1,1))-AVERAGE(OFFSET($H$3,0,0,'Données projet'!$E$9+1,1))</f>
        <v>237.22177246688199</v>
      </c>
      <c r="T31" s="59">
        <f t="shared" si="34"/>
        <v>149.27472147904302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6.3</v>
      </c>
      <c r="AI31" s="13">
        <f>IF('Données projet'!$A$62&gt;35,AI30+AH31-AQ30,IF(A31&lt;'Données projet'!$A$62,$AF$205^A31,IF(A31='Données projet'!$A$62,'Données projet'!$B$62,AI30+AH31-AQ30)))</f>
        <v>92.399999999999977</v>
      </c>
      <c r="AJ31" s="13">
        <f>AI31*VLOOKUP('Données projet'!$B$10,Paramètres!$A$1:$I$89,3,0)*VLOOKUP('Données projet'!$B$10,Paramètres!$A$1:$I$89,5,0)</f>
        <v>93.693599999999989</v>
      </c>
      <c r="AK31" s="13">
        <f t="shared" si="35"/>
        <v>25.453936461054091</v>
      </c>
      <c r="AL31" s="20">
        <f t="shared" si="4"/>
        <v>207.51529266966918</v>
      </c>
      <c r="AM31" s="59">
        <f t="shared" si="5"/>
        <v>500.84862600300249</v>
      </c>
      <c r="AN31" s="59">
        <f ca="1">AVERAGE(OFFSET($AM$3,0,0,'Données projet'!$E$10+1,1))-AVERAGE(OFFSET($H$3,0,0,'Données projet'!$E$10+1,1))</f>
        <v>279.20364724206644</v>
      </c>
      <c r="AO31" s="59">
        <f t="shared" si="36"/>
        <v>173.99850582760712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219.09999999999991</v>
      </c>
      <c r="BE31" s="13">
        <f>BD31*VLOOKUP('Données projet'!$B$11,Paramètres!$A$1:$I$89,3,0)*VLOOKUP('Données projet'!$B$11,Paramètres!$A$1:$I$89,5,0)</f>
        <v>102.53879999999995</v>
      </c>
      <c r="BF31" s="13">
        <f t="shared" si="37"/>
        <v>27.565946279127878</v>
      </c>
      <c r="BG31" s="20">
        <f t="shared" si="7"/>
        <v>226.59909976948094</v>
      </c>
      <c r="BH31" s="59">
        <f t="shared" si="8"/>
        <v>519.93243310281423</v>
      </c>
      <c r="BI31" s="59">
        <f ca="1">AVERAGE(OFFSET($BH$3,0,0,'Données projet'!$E$11+1,1))-AVERAGE(OFFSET($H$3,0,0,'Données projet'!$E$11+1,1))</f>
        <v>215.23235148064941</v>
      </c>
      <c r="BJ31" s="59">
        <f t="shared" si="38"/>
        <v>184.07239726900434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1.7028404560746147</v>
      </c>
      <c r="BR31" s="21">
        <f>EXP(-LN(2)/2)*BR30+(1-EXP(-LN(2)/2))/(LN(2)/2)*BL31*BO31*VLOOKUP('Données projet'!$B$11,Paramètres!$A$1:$I$89,3,0)*0.475*44/12</f>
        <v>0.20698621689155705</v>
      </c>
      <c r="BS31" s="22">
        <f t="shared" si="9"/>
        <v>1.9098266729661717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6.3</v>
      </c>
      <c r="BY31" s="12">
        <f>IF('Données projet'!$A$114&gt;35,BY30+BX31-CG30,IF(A31&lt;'Données projet'!$A$114,$BV$205^A31,IF(A31='Données projet'!$A$114,'Données projet'!$B$114,BY30+BX31-CG30)))</f>
        <v>92.399999999999977</v>
      </c>
      <c r="BZ31" s="13">
        <f>BY31*VLOOKUP('Données projet'!$B$12,Paramètres!$A$1:$I$89,3,0)*VLOOKUP('Données projet'!$B$12,Paramètres!$A$1:$I$89,5,0)</f>
        <v>99.459359999999975</v>
      </c>
      <c r="CA31" s="13">
        <f t="shared" si="39"/>
        <v>26.833156914576186</v>
      </c>
      <c r="CB31" s="20">
        <f t="shared" si="10"/>
        <v>219.95946695955351</v>
      </c>
      <c r="CC31" s="59">
        <f t="shared" si="11"/>
        <v>513.2928002928868</v>
      </c>
      <c r="CD31" s="59">
        <f ca="1">AVERAGE(OFFSET($CC$3,0,0,'Données projet'!$E$12+1,1))-AVERAGE(OFFSET($H$3,0,0,'Données projet'!$E$12+1,1))</f>
        <v>303.1504619632214</v>
      </c>
      <c r="CE31" s="59">
        <f t="shared" si="40"/>
        <v>188.09929616366503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12.2</v>
      </c>
      <c r="CT31" s="12">
        <f>IF('Données projet'!$A$140&gt;35,CT30+CS31-DB30,IF(A31&lt;'Données projet'!$A$140,$CQ$205^A31,IF(A31='Données projet'!$A$140,'Données projet'!$B$140,CT30+CS31-DB30)))</f>
        <v>149.6</v>
      </c>
      <c r="CU31" s="17">
        <f>CT31*VLOOKUP('Données projet'!$B$13,Paramètres!$A$1:$I$89,3,0)*VLOOKUP('Données projet'!$B$13,Paramètres!$A$1:$I$89,5,0)</f>
        <v>100.35168</v>
      </c>
      <c r="CV31" s="13">
        <f t="shared" si="41"/>
        <v>27.045763332704833</v>
      </c>
      <c r="CW31" s="20">
        <f t="shared" si="13"/>
        <v>221.88388047112758</v>
      </c>
      <c r="CX31" s="59">
        <f t="shared" si="14"/>
        <v>515.21721380446093</v>
      </c>
      <c r="CY31" s="59">
        <f ca="1">AVERAGE(OFFSET($CX$3,0,0,'Données projet'!$E$13+1,1))-AVERAGE(OFFSET($H$3,0,0,'Données projet'!$E$13+1,1))</f>
        <v>156.63226020379989</v>
      </c>
      <c r="CZ31" s="59">
        <f t="shared" si="42"/>
        <v>196.0481096619543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3.3711768924029086</v>
      </c>
      <c r="DH31" s="21">
        <f>EXP(-LN(2)/2)*DH30+(1-EXP(-LN(2)/2))/(LN(2)/2)*DB31*DE31*VLOOKUP('Données projet'!$B$13,Paramètres!$A$1:$I$89,3,0)*0.475*44/12</f>
        <v>0.42524168336943247</v>
      </c>
      <c r="DI31" s="22">
        <f t="shared" si="15"/>
        <v>3.796418575772341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6.8</v>
      </c>
      <c r="DO31" s="12">
        <f>IF('Données projet'!$A$166&gt;35,DO30+DN31-DW30,IF(A31&lt;'Données projet'!$A$166,$DL$205^A31,IF(A31='Données projet'!$A$166,'Données projet'!$B$166,DO30+DN31-DW30)))</f>
        <v>199.39999999999995</v>
      </c>
      <c r="DP31" s="17">
        <f>DO31*VLOOKUP('Données projet'!$B$14,Paramètres!$A$1:$I$89,3,0)*VLOOKUP('Données projet'!$B$14,Paramètres!$A$1:$I$89,5,0)</f>
        <v>180.41711999999995</v>
      </c>
      <c r="DQ31" s="13">
        <f t="shared" si="43"/>
        <v>45.414975176335098</v>
      </c>
      <c r="DR31" s="20">
        <f t="shared" si="16"/>
        <v>393.32423243211684</v>
      </c>
      <c r="DS31" s="59">
        <f t="shared" si="17"/>
        <v>686.65756576545016</v>
      </c>
      <c r="DT31" s="59">
        <f ca="1">AVERAGE(OFFSET($DS$3,0,0,'Données projet'!$E$14+1,1))-AVERAGE(OFFSET($H$3,0,0,'Données projet'!$E$14+1,1))</f>
        <v>225.28075317732998</v>
      </c>
      <c r="DU31" s="59">
        <f t="shared" si="44"/>
        <v>358.43407531256207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1.3039340865566547</v>
      </c>
      <c r="EB31" s="21">
        <f>EXP(-LN(2)/25)*EB30+(1-EXP(-LN(2)/25))/(LN(2)/25)*Calculateur!DW31*Calculateur!DY31*VLOOKUP('Données projet'!$B$14,Paramètres!$A$1:$I$89,3,0)*0.475*44/12</f>
        <v>7.5273850770439505</v>
      </c>
      <c r="EC31" s="21">
        <f>EXP(-LN(2)/2)*EC30+(1-EXP(-LN(2)/2))/(LN(2)/2)*DW31*DZ31*VLOOKUP('Données projet'!$B$14,Paramètres!$A$1:$I$89,3,0)*0.475*44/12</f>
        <v>2.2545279569598855</v>
      </c>
      <c r="ED31" s="22">
        <f t="shared" si="18"/>
        <v>11.085847120560491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22.2</v>
      </c>
      <c r="EJ31" s="12">
        <f>IF('Données projet'!$A$192&gt;35,EJ30+EI31-ER30,IF(A31&lt;'Données projet'!$A$192,$EG$205^A31,IF(A31='Données projet'!$A$192,'Données projet'!$B$192,EJ30+EI31-ER30)))</f>
        <v>276.59999999999991</v>
      </c>
      <c r="EK31" s="17">
        <f>EJ31*VLOOKUP('Données projet'!$B$15,Paramètres!$A$1:$I$89,3,0)*VLOOKUP('Données projet'!$B$15,Paramètres!$A$1:$I$89,5,0)</f>
        <v>154.61939999999996</v>
      </c>
      <c r="EL31" s="13">
        <f t="shared" si="45"/>
        <v>39.626500524372794</v>
      </c>
      <c r="EM31" s="20">
        <f t="shared" si="19"/>
        <v>338.31161007994922</v>
      </c>
      <c r="EN31" s="59">
        <f t="shared" si="20"/>
        <v>631.64494341328259</v>
      </c>
      <c r="EO31" s="59">
        <f ca="1">AVERAGE(OFFSET($EN$3,0,0,'Données projet'!$E$15+1,1))-AVERAGE(OFFSET($H$3,0,0,'Données projet'!$E$15+1,1))</f>
        <v>326.31232746914907</v>
      </c>
      <c r="EP31" s="59">
        <f t="shared" si="46"/>
        <v>330.17137761430297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10.251099545569179</v>
      </c>
      <c r="EX31" s="21">
        <f>EXP(-LN(2)/2)*EX30+(1-EXP(-LN(2)/2))/(LN(2)/2)*ER31*EU31*VLOOKUP('Données projet'!$B$15,Paramètres!$A$1:$I$89,3,0)*0.475*44/12</f>
        <v>1.2460570256871744</v>
      </c>
      <c r="EY31" s="22">
        <f t="shared" si="21"/>
        <v>11.497156571256353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16.5</v>
      </c>
      <c r="FE31" s="12">
        <f>IF('Données projet'!$A$218&gt;35,FE30+FD31-FM30,IF(A31&lt;'Données projet'!$A$218,$FB$205^A31,IF(A31='Données projet'!$A$218,'Données projet'!$B$218,FE30+FD31-FM30)))</f>
        <v>230</v>
      </c>
      <c r="FF31" s="17">
        <f>FE31*VLOOKUP('Données projet'!$B$16,Paramètres!$A$1:$I$89,3,0)*VLOOKUP('Données projet'!$B$16,Paramètres!$A$1:$I$89,5,0)</f>
        <v>143.51999999999998</v>
      </c>
      <c r="FG31" s="13">
        <f t="shared" si="47"/>
        <v>37.102218970378601</v>
      </c>
      <c r="FH31" s="20">
        <f t="shared" si="22"/>
        <v>314.583698040076</v>
      </c>
      <c r="FI31" s="59">
        <f t="shared" si="23"/>
        <v>607.91703137340937</v>
      </c>
      <c r="FJ31" s="59">
        <f ca="1">AVERAGE(OFFSET($FI$3,0,0,'Données projet'!$E$16+1,1))-AVERAGE(OFFSET($H$3,0,0,'Données projet'!$E$16+1,1))</f>
        <v>255.41017495879987</v>
      </c>
      <c r="FK31" s="59">
        <f t="shared" si="48"/>
        <v>297.50513563712764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11.888922456957308</v>
      </c>
      <c r="FS31" s="21">
        <f>EXP(-LN(2)/2)*FS30+(1-EXP(-LN(2)/2))/(LN(2)/2)*FM31*FP31*VLOOKUP('Données projet'!$B$16,Paramètres!$A$1:$I$89,3,0)*0.475*44/12</f>
        <v>1.3247117881059658</v>
      </c>
      <c r="FT31" s="22">
        <f t="shared" si="24"/>
        <v>13.213634245063274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15.8</v>
      </c>
      <c r="FZ31" s="12">
        <f>IF('Données projet'!$A$244&gt;35,FZ30+FY31-GH30,IF(A31&lt;'Données projet'!$A$244,$FW$205^A31,IF(A31='Données projet'!$A$244,'Données projet'!$B$244,FZ30+FY31-GH30)))</f>
        <v>225.40000000000009</v>
      </c>
      <c r="GA31" s="17">
        <f>FZ31*VLOOKUP('Données projet'!$B$17,Paramètres!$A$1:$I$89,3,0)*VLOOKUP('Données projet'!$B$17,Paramètres!$A$1:$I$89,5,0)</f>
        <v>134.78920000000005</v>
      </c>
      <c r="GB31" s="13">
        <f t="shared" si="49"/>
        <v>35.100662005900844</v>
      </c>
      <c r="GC31" s="20">
        <f t="shared" si="25"/>
        <v>295.89150966027745</v>
      </c>
      <c r="GD31" s="59">
        <f t="shared" si="26"/>
        <v>589.22484299361076</v>
      </c>
      <c r="GE31" s="59">
        <f ca="1">AVERAGE(OFFSET($GD$3,0,0,'Données projet'!$E$17+1,1))-AVERAGE(OFFSET($H$3,0,0,'Données projet'!$E$17+1,1))</f>
        <v>259.30247982593914</v>
      </c>
      <c r="GF31" s="59">
        <f t="shared" si="50"/>
        <v>275.24740346220779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3.2756458227762586</v>
      </c>
      <c r="GN31" s="21">
        <f>EXP(-LN(2)/2)*GN30+(1-EXP(-LN(2)/2))/(LN(2)/2)*GH31*GK31*VLOOKUP('Données projet'!$B$17,Paramètres!$A$1:$I$89,3,0)*0.475*44/12</f>
        <v>0.48664759438059435</v>
      </c>
      <c r="GO31" s="21">
        <f t="shared" si="27"/>
        <v>3.7622934171568527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12.2</v>
      </c>
      <c r="GU31" s="12">
        <f>IF('Données projet'!$A$270&gt;35,GU30+GT31-HC30,IF(A31&lt;'Données projet'!$A$270,$GR$205^A31,IF(A31='Données projet'!$A$270,'Données projet'!$B$270,GU30+GT31-HC30)))</f>
        <v>149.6</v>
      </c>
      <c r="GV31" s="17">
        <f>GU31*VLOOKUP('Données projet'!$B$18,Paramètres!$A$1:$I$89,3,0)*VLOOKUP('Données projet'!$B$18,Paramètres!$A$1:$I$89,5,0)</f>
        <v>119.02175999999999</v>
      </c>
      <c r="GW31" s="13">
        <f t="shared" si="51"/>
        <v>31.446732299897718</v>
      </c>
      <c r="GX31" s="20">
        <f t="shared" si="28"/>
        <v>262.06595742232184</v>
      </c>
      <c r="GY31" s="59">
        <f t="shared" si="29"/>
        <v>555.3992907556551</v>
      </c>
      <c r="GZ31" s="59">
        <f ca="1">AVERAGE(OFFSET($GY$3,0,0,'Données projet'!$E$18+1,1))-AVERAGE(OFFSET($H$3,0,0,'Données projet'!$E$18+1,1))</f>
        <v>199.58763537752952</v>
      </c>
      <c r="HA31" s="59">
        <f t="shared" si="52"/>
        <v>242.62852778451929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3.9983725933150778</v>
      </c>
      <c r="HI31" s="21">
        <f>EXP(-LN(2)/2)*HI30+(1-EXP(-LN(2)/2))/(LN(2)/2)*HC31*HF31*VLOOKUP('Données projet'!$B$18,Paramètres!$A$1:$I$89,3,0)*0.475*44/12</f>
        <v>0.50435641515909413</v>
      </c>
      <c r="HJ31" s="22">
        <f t="shared" si="30"/>
        <v>4.502729008474172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6.3</v>
      </c>
      <c r="N32" s="13">
        <f>IF('Données projet'!$A$36&gt;35,N31+M32-V31,IF(A32&lt;'Données projet'!$A$36,$K$205^A32,IF(A32='Données projet'!$A$36,'Données projet'!$B$36,N31+M32-V31)))</f>
        <v>98.699999999999974</v>
      </c>
      <c r="O32" s="13">
        <f>N32*VLOOKUP('Données projet'!$B$9,Paramètres!$A$1:$I$89,3,0)*VLOOKUP('Données projet'!$B$9,Paramètres!$A$1:$I$89,5,0)</f>
        <v>89.303759999999968</v>
      </c>
      <c r="P32" s="13">
        <f t="shared" si="33"/>
        <v>24.397232850954325</v>
      </c>
      <c r="Q32" s="20">
        <f t="shared" si="2"/>
        <v>198.02922921541202</v>
      </c>
      <c r="R32" s="59">
        <f t="shared" si="0"/>
        <v>491.36256254874536</v>
      </c>
      <c r="S32" s="59">
        <f ca="1">AVERAGE(OFFSET($R$3,0,0,'Données projet'!$E$9+1,1))-AVERAGE(OFFSET($H$3,0,0,'Données projet'!$E$9+1,1))</f>
        <v>237.22177246688199</v>
      </c>
      <c r="T32" s="59">
        <f t="shared" si="34"/>
        <v>149.27472147904302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6.3</v>
      </c>
      <c r="AI32" s="13">
        <f>IF('Données projet'!$A$62&gt;35,AI31+AH32-AQ31,IF(A32&lt;'Données projet'!$A$62,$AF$205^A32,IF(A32='Données projet'!$A$62,'Données projet'!$B$62,AI31+AH32-AQ31)))</f>
        <v>98.699999999999974</v>
      </c>
      <c r="AJ32" s="13">
        <f>AI32*VLOOKUP('Données projet'!$B$10,Paramètres!$A$1:$I$89,3,0)*VLOOKUP('Données projet'!$B$10,Paramètres!$A$1:$I$89,5,0)</f>
        <v>100.08179999999999</v>
      </c>
      <c r="AK32" s="13">
        <f t="shared" si="35"/>
        <v>26.981484342875188</v>
      </c>
      <c r="AL32" s="20">
        <f t="shared" si="4"/>
        <v>221.30188689717423</v>
      </c>
      <c r="AM32" s="59">
        <f t="shared" si="5"/>
        <v>514.63522023050757</v>
      </c>
      <c r="AN32" s="59">
        <f ca="1">AVERAGE(OFFSET($AM$3,0,0,'Données projet'!$E$10+1,1))-AVERAGE(OFFSET($H$3,0,0,'Données projet'!$E$10+1,1))</f>
        <v>279.20364724206644</v>
      </c>
      <c r="AO32" s="59">
        <f t="shared" si="36"/>
        <v>173.99850582760712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228.2999999999999</v>
      </c>
      <c r="BE32" s="13">
        <f>BD32*VLOOKUP('Données projet'!$B$11,Paramètres!$A$1:$I$89,3,0)*VLOOKUP('Données projet'!$B$11,Paramètres!$A$1:$I$89,5,0)</f>
        <v>106.84439999999995</v>
      </c>
      <c r="BF32" s="13">
        <f t="shared" si="37"/>
        <v>28.586245822975961</v>
      </c>
      <c r="BG32" s="20">
        <f t="shared" si="7"/>
        <v>235.87504147501636</v>
      </c>
      <c r="BH32" s="59">
        <f t="shared" si="8"/>
        <v>529.20837480834962</v>
      </c>
      <c r="BI32" s="59">
        <f ca="1">AVERAGE(OFFSET($BH$3,0,0,'Données projet'!$E$11+1,1))-AVERAGE(OFFSET($H$3,0,0,'Données projet'!$E$11+1,1))</f>
        <v>215.23235148064941</v>
      </c>
      <c r="BJ32" s="59">
        <f t="shared" si="38"/>
        <v>184.07239726900434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1.6562761942547666</v>
      </c>
      <c r="BR32" s="21">
        <f>EXP(-LN(2)/2)*BR31+(1-EXP(-LN(2)/2))/(LN(2)/2)*BL32*BO32*VLOOKUP('Données projet'!$B$11,Paramètres!$A$1:$I$89,3,0)*0.475*44/12</f>
        <v>0.1463613575761695</v>
      </c>
      <c r="BS32" s="22">
        <f t="shared" si="9"/>
        <v>1.8026375518309361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6.3</v>
      </c>
      <c r="BY32" s="12">
        <f>IF('Données projet'!$A$114&gt;35,BY31+BX32-CG31,IF(A32&lt;'Données projet'!$A$114,$BV$205^A32,IF(A32='Données projet'!$A$114,'Données projet'!$B$114,BY31+BX32-CG31)))</f>
        <v>98.699999999999974</v>
      </c>
      <c r="BZ32" s="13">
        <f>BY32*VLOOKUP('Données projet'!$B$12,Paramètres!$A$1:$I$89,3,0)*VLOOKUP('Données projet'!$B$12,Paramètres!$A$1:$I$89,5,0)</f>
        <v>106.24067999999997</v>
      </c>
      <c r="CA32" s="13">
        <f t="shared" si="39"/>
        <v>28.443474912743159</v>
      </c>
      <c r="CB32" s="20">
        <f t="shared" si="10"/>
        <v>234.57490313969427</v>
      </c>
      <c r="CC32" s="59">
        <f t="shared" si="11"/>
        <v>527.90823647302761</v>
      </c>
      <c r="CD32" s="59">
        <f ca="1">AVERAGE(OFFSET($CC$3,0,0,'Données projet'!$E$12+1,1))-AVERAGE(OFFSET($H$3,0,0,'Données projet'!$E$12+1,1))</f>
        <v>303.1504619632214</v>
      </c>
      <c r="CE32" s="59">
        <f t="shared" si="40"/>
        <v>188.09929616366503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12.2</v>
      </c>
      <c r="CT32" s="12">
        <f>IF('Données projet'!$A$140&gt;35,CT31+CS32-DB31,IF(A32&lt;'Données projet'!$A$140,$CQ$205^A32,IF(A32='Données projet'!$A$140,'Données projet'!$B$140,CT31+CS32-DB31)))</f>
        <v>161.79999999999998</v>
      </c>
      <c r="CU32" s="17">
        <f>CT32*VLOOKUP('Données projet'!$B$13,Paramètres!$A$1:$I$89,3,0)*VLOOKUP('Données projet'!$B$13,Paramètres!$A$1:$I$89,5,0)</f>
        <v>108.53543999999999</v>
      </c>
      <c r="CV32" s="13">
        <f t="shared" si="41"/>
        <v>28.985654095898287</v>
      </c>
      <c r="CW32" s="20">
        <f t="shared" si="13"/>
        <v>239.51590555035622</v>
      </c>
      <c r="CX32" s="59">
        <f t="shared" si="14"/>
        <v>532.84923888368951</v>
      </c>
      <c r="CY32" s="59">
        <f ca="1">AVERAGE(OFFSET($CX$3,0,0,'Données projet'!$E$13+1,1))-AVERAGE(OFFSET($H$3,0,0,'Données projet'!$E$13+1,1))</f>
        <v>156.63226020379989</v>
      </c>
      <c r="CZ32" s="59">
        <f t="shared" si="42"/>
        <v>196.0481096619543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3.2789918829976634</v>
      </c>
      <c r="DH32" s="21">
        <f>EXP(-LN(2)/2)*DH31+(1-EXP(-LN(2)/2))/(LN(2)/2)*DB32*DE32*VLOOKUP('Données projet'!$B$13,Paramètres!$A$1:$I$89,3,0)*0.475*44/12</f>
        <v>0.30069127795370842</v>
      </c>
      <c r="DI32" s="22">
        <f t="shared" si="15"/>
        <v>3.579683160951372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6.8</v>
      </c>
      <c r="DO32" s="12">
        <f>IF('Données projet'!$A$166&gt;35,DO31+DN32-DW31,IF(A32&lt;'Données projet'!$A$166,$DL$205^A32,IF(A32='Données projet'!$A$166,'Données projet'!$B$166,DO31+DN32-DW31)))</f>
        <v>206.19999999999996</v>
      </c>
      <c r="DP32" s="17">
        <f>DO32*VLOOKUP('Données projet'!$B$14,Paramètres!$A$1:$I$89,3,0)*VLOOKUP('Données projet'!$B$14,Paramètres!$A$1:$I$89,5,0)</f>
        <v>186.56975999999997</v>
      </c>
      <c r="DQ32" s="13">
        <f t="shared" si="43"/>
        <v>46.780773230247213</v>
      </c>
      <c r="DR32" s="20">
        <f t="shared" si="16"/>
        <v>406.41884537601385</v>
      </c>
      <c r="DS32" s="59">
        <f t="shared" si="17"/>
        <v>699.75217870934716</v>
      </c>
      <c r="DT32" s="59">
        <f ca="1">AVERAGE(OFFSET($DS$3,0,0,'Données projet'!$E$14+1,1))-AVERAGE(OFFSET($H$3,0,0,'Données projet'!$E$14+1,1))</f>
        <v>225.28075317732998</v>
      </c>
      <c r="DU32" s="59">
        <f t="shared" si="44"/>
        <v>358.43407531256207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1.27836473444054</v>
      </c>
      <c r="EB32" s="21">
        <f>EXP(-LN(2)/25)*EB31+(1-EXP(-LN(2)/25))/(LN(2)/25)*Calculateur!DW32*Calculateur!DY32*VLOOKUP('Données projet'!$B$14,Paramètres!$A$1:$I$89,3,0)*0.475*44/12</f>
        <v>7.3215483362642066</v>
      </c>
      <c r="EC32" s="21">
        <f>EXP(-LN(2)/2)*EC31+(1-EXP(-LN(2)/2))/(LN(2)/2)*DW32*DZ32*VLOOKUP('Données projet'!$B$14,Paramètres!$A$1:$I$89,3,0)*0.475*44/12</f>
        <v>1.5941920067409878</v>
      </c>
      <c r="ED32" s="22">
        <f t="shared" si="18"/>
        <v>10.194105077445734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22.2</v>
      </c>
      <c r="EJ32" s="12">
        <f>IF('Données projet'!$A$192&gt;35,EJ31+EI32-ER31,IF(A32&lt;'Données projet'!$A$192,$EG$205^A32,IF(A32='Données projet'!$A$192,'Données projet'!$B$192,EJ31+EI32-ER31)))</f>
        <v>298.7999999999999</v>
      </c>
      <c r="EK32" s="17">
        <f>EJ32*VLOOKUP('Données projet'!$B$15,Paramètres!$A$1:$I$89,3,0)*VLOOKUP('Données projet'!$B$15,Paramètres!$A$1:$I$89,5,0)</f>
        <v>167.02919999999995</v>
      </c>
      <c r="EL32" s="13">
        <f t="shared" si="45"/>
        <v>42.423982056168619</v>
      </c>
      <c r="EM32" s="20">
        <f t="shared" si="19"/>
        <v>364.79762541449355</v>
      </c>
      <c r="EN32" s="59">
        <f t="shared" si="20"/>
        <v>658.13095874782687</v>
      </c>
      <c r="EO32" s="59">
        <f ca="1">AVERAGE(OFFSET($EN$3,0,0,'Données projet'!$E$15+1,1))-AVERAGE(OFFSET($H$3,0,0,'Données projet'!$E$15+1,1))</f>
        <v>326.31232746914907</v>
      </c>
      <c r="EP32" s="59">
        <f t="shared" si="46"/>
        <v>330.17137761430297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9.9707826894136939</v>
      </c>
      <c r="EX32" s="21">
        <f>EXP(-LN(2)/2)*EX31+(1-EXP(-LN(2)/2))/(LN(2)/2)*ER32*EU32*VLOOKUP('Données projet'!$B$15,Paramètres!$A$1:$I$89,3,0)*0.475*44/12</f>
        <v>0.88109537260854109</v>
      </c>
      <c r="EY32" s="22">
        <f t="shared" si="21"/>
        <v>10.851878062022235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16.5</v>
      </c>
      <c r="FE32" s="12">
        <f>IF('Données projet'!$A$218&gt;35,FE31+FD32-FM31,IF(A32&lt;'Données projet'!$A$218,$FB$205^A32,IF(A32='Données projet'!$A$218,'Données projet'!$B$218,FE31+FD32-FM31)))</f>
        <v>246.5</v>
      </c>
      <c r="FF32" s="17">
        <f>FE32*VLOOKUP('Données projet'!$B$16,Paramètres!$A$1:$I$89,3,0)*VLOOKUP('Données projet'!$B$16,Paramètres!$A$1:$I$89,5,0)</f>
        <v>153.816</v>
      </c>
      <c r="FG32" s="13">
        <f t="shared" si="47"/>
        <v>39.444513325737063</v>
      </c>
      <c r="FH32" s="20">
        <f t="shared" si="22"/>
        <v>336.59539404232538</v>
      </c>
      <c r="FI32" s="59">
        <f t="shared" si="23"/>
        <v>629.9287273756587</v>
      </c>
      <c r="FJ32" s="59">
        <f ca="1">AVERAGE(OFFSET($FI$3,0,0,'Données projet'!$E$16+1,1))-AVERAGE(OFFSET($H$3,0,0,'Données projet'!$E$16+1,1))</f>
        <v>255.41017495879987</v>
      </c>
      <c r="FK32" s="59">
        <f t="shared" si="48"/>
        <v>297.50513563712764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11.563819247160552</v>
      </c>
      <c r="FS32" s="21">
        <f>EXP(-LN(2)/2)*FS31+(1-EXP(-LN(2)/2))/(LN(2)/2)*FM32*FP32*VLOOKUP('Données projet'!$B$16,Paramètres!$A$1:$I$89,3,0)*0.475*44/12</f>
        <v>0.93671268848748535</v>
      </c>
      <c r="FT32" s="22">
        <f t="shared" si="24"/>
        <v>12.500531935648038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15.8</v>
      </c>
      <c r="FZ32" s="12">
        <f>IF('Données projet'!$A$244&gt;35,FZ31+FY32-GH31,IF(A32&lt;'Données projet'!$A$244,$FW$205^A32,IF(A32='Données projet'!$A$244,'Données projet'!$B$244,FZ31+FY32-GH31)))</f>
        <v>241.2000000000001</v>
      </c>
      <c r="GA32" s="17">
        <f>FZ32*VLOOKUP('Données projet'!$B$17,Paramètres!$A$1:$I$89,3,0)*VLOOKUP('Données projet'!$B$17,Paramètres!$A$1:$I$89,5,0)</f>
        <v>144.23760000000007</v>
      </c>
      <c r="GB32" s="13">
        <f t="shared" si="49"/>
        <v>37.266088962286922</v>
      </c>
      <c r="GC32" s="20">
        <f t="shared" si="25"/>
        <v>316.11892494264981</v>
      </c>
      <c r="GD32" s="59">
        <f t="shared" si="26"/>
        <v>609.45225827598313</v>
      </c>
      <c r="GE32" s="59">
        <f ca="1">AVERAGE(OFFSET($GD$3,0,0,'Données projet'!$E$17+1,1))-AVERAGE(OFFSET($H$3,0,0,'Données projet'!$E$17+1,1))</f>
        <v>259.30247982593914</v>
      </c>
      <c r="GF32" s="59">
        <f t="shared" si="50"/>
        <v>275.24740346220779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3.1860731154937145</v>
      </c>
      <c r="GN32" s="21">
        <f>EXP(-LN(2)/2)*GN31+(1-EXP(-LN(2)/2))/(LN(2)/2)*GH32*GK32*VLOOKUP('Données projet'!$B$17,Paramètres!$A$1:$I$89,3,0)*0.475*44/12</f>
        <v>0.3441118140346387</v>
      </c>
      <c r="GO32" s="21">
        <f t="shared" si="27"/>
        <v>3.5301849295283532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12.2</v>
      </c>
      <c r="GU32" s="12">
        <f>IF('Données projet'!$A$270&gt;35,GU31+GT32-HC31,IF(A32&lt;'Données projet'!$A$270,$GR$205^A32,IF(A32='Données projet'!$A$270,'Données projet'!$B$270,GU31+GT32-HC31)))</f>
        <v>161.79999999999998</v>
      </c>
      <c r="GV32" s="17">
        <f>GU32*VLOOKUP('Données projet'!$B$18,Paramètres!$A$1:$I$89,3,0)*VLOOKUP('Données projet'!$B$18,Paramètres!$A$1:$I$89,5,0)</f>
        <v>128.72807999999998</v>
      </c>
      <c r="GW32" s="13">
        <f t="shared" si="51"/>
        <v>33.702287995285367</v>
      </c>
      <c r="GX32" s="20">
        <f t="shared" si="28"/>
        <v>282.89955759178861</v>
      </c>
      <c r="GY32" s="59">
        <f t="shared" si="29"/>
        <v>576.23289092512186</v>
      </c>
      <c r="GZ32" s="59">
        <f ca="1">AVERAGE(OFFSET($GY$3,0,0,'Données projet'!$E$18+1,1))-AVERAGE(OFFSET($H$3,0,0,'Données projet'!$E$18+1,1))</f>
        <v>199.58763537752952</v>
      </c>
      <c r="HA32" s="59">
        <f t="shared" si="52"/>
        <v>242.62852778451929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3.8890368844856007</v>
      </c>
      <c r="HI32" s="21">
        <f>EXP(-LN(2)/2)*HI31+(1-EXP(-LN(2)/2))/(LN(2)/2)*HC32*HF32*VLOOKUP('Données projet'!$B$18,Paramètres!$A$1:$I$89,3,0)*0.475*44/12</f>
        <v>0.35663384129393311</v>
      </c>
      <c r="HJ32" s="22">
        <f t="shared" si="30"/>
        <v>4.2456707257795339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105</v>
      </c>
      <c r="L33" s="12">
        <f>VLOOKUP(A33,'Données projet'!$A$35:$I$55,9,0)</f>
        <v>6.3</v>
      </c>
      <c r="M33" s="12">
        <f t="array" ref="M33">INDEX(L:L,MIN(IF(ISNUMBER(L33:L229),ROW(L33:L229),"")))</f>
        <v>6.3</v>
      </c>
      <c r="N33" s="13">
        <f>IF('Données projet'!$A$36&gt;35,N32+M33-V32,IF(A33&lt;'Données projet'!$A$36,$K$205^A33,IF(A33='Données projet'!$A$36,'Données projet'!$B$36,N32+M33-V32)))</f>
        <v>104.99999999999997</v>
      </c>
      <c r="O33" s="13">
        <f>N33*VLOOKUP('Données projet'!$B$9,Paramètres!$A$1:$I$89,3,0)*VLOOKUP('Données projet'!$B$9,Paramètres!$A$1:$I$89,5,0)</f>
        <v>95.003999999999962</v>
      </c>
      <c r="P33" s="13">
        <f t="shared" si="33"/>
        <v>25.768242550600764</v>
      </c>
      <c r="Q33" s="20">
        <f t="shared" si="2"/>
        <v>210.34498910896289</v>
      </c>
      <c r="R33" s="59">
        <f t="shared" si="0"/>
        <v>503.67832244229623</v>
      </c>
      <c r="S33" s="59">
        <f ca="1">AVERAGE(OFFSET($R$3,0,0,'Données projet'!$E$9+1,1))-AVERAGE(OFFSET($H$3,0,0,'Données projet'!$E$9+1,1))</f>
        <v>237.22177246688199</v>
      </c>
      <c r="T33" s="59">
        <f t="shared" si="34"/>
        <v>149.27472147904302</v>
      </c>
      <c r="U33" s="15">
        <f>IF(ISNA(VLOOKUP(A33,'Données projet'!$A$35:$I$55,3,0)),0,VLOOKUP(A33,'Données projet'!$A$35:$I$55,3,0))</f>
        <v>1</v>
      </c>
      <c r="V33" s="15">
        <f>IF(ISNA(VLOOKUP(A33,'Données projet'!$A$35:$I$55,4,0)),0,VLOOKUP(A33,'Données projet'!$A$35:$I$55,4,0))</f>
        <v>29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0.1075</v>
      </c>
      <c r="Y33" s="16">
        <f>IF(ISNA(VLOOKUP(A33,'Données projet'!$A$35:$I$55,7,0)),0%,VLOOKUP(A33,'Données projet'!$A$35:$I$55,7,0))</f>
        <v>0.25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3.1059381724899082</v>
      </c>
      <c r="AB33" s="21">
        <f>EXP(-LN(2)/2)*AB32+(1-EXP(-LN(2)/2))/(LN(2)/2)*V33*Y33*VLOOKUP('Données projet'!$B$9,Paramètres!$A$1:$I$89,3,0)*0.475*44/12</f>
        <v>6.1893478544284255</v>
      </c>
      <c r="AC33" s="22">
        <f t="shared" si="3"/>
        <v>9.2952860269183333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105</v>
      </c>
      <c r="AG33" s="12">
        <f>VLOOKUP(A33,'Données projet'!$A$61:$I$81,9,0)</f>
        <v>6.3</v>
      </c>
      <c r="AH33" s="12">
        <f t="array" ref="AH33">INDEX(AG:AG,MIN(IF(ISNUMBER(AG33:AG229),ROW(AG33:AG229),"")))</f>
        <v>6.3</v>
      </c>
      <c r="AI33" s="13">
        <f>IF('Données projet'!$A$62&gt;35,AI32+AH33-AQ32,IF(A33&lt;'Données projet'!$A$62,$AF$205^A33,IF(A33='Données projet'!$A$62,'Données projet'!$B$62,AI32+AH33-AQ32)))</f>
        <v>104.99999999999997</v>
      </c>
      <c r="AJ33" s="13">
        <f>AI33*VLOOKUP('Données projet'!$B$10,Paramètres!$A$1:$I$89,3,0)*VLOOKUP('Données projet'!$B$10,Paramètres!$A$1:$I$89,5,0)</f>
        <v>106.46999999999998</v>
      </c>
      <c r="AK33" s="13">
        <f t="shared" si="35"/>
        <v>28.497716817718885</v>
      </c>
      <c r="AL33" s="20">
        <f t="shared" si="4"/>
        <v>235.06877345752699</v>
      </c>
      <c r="AM33" s="59">
        <f t="shared" si="5"/>
        <v>528.40210679086033</v>
      </c>
      <c r="AN33" s="59">
        <f ca="1">AVERAGE(OFFSET($AM$3,0,0,'Données projet'!$E$10+1,1))-AVERAGE(OFFSET($H$3,0,0,'Données projet'!$E$10+1,1))</f>
        <v>279.20364724206644</v>
      </c>
      <c r="AO33" s="59">
        <f t="shared" si="36"/>
        <v>173.99850582760712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3.4807927795145521</v>
      </c>
      <c r="AW33" s="21">
        <f>EXP(-LN(2)/2)*AW32+(1-EXP(-LN(2)/2))/(LN(2)/2)*AQ33*AT33*VLOOKUP('Données projet'!$B$10,Paramètres!$A$1:$I$89,3,0)*0.475*44/12</f>
        <v>6.9363381127215114</v>
      </c>
      <c r="AX33" s="21">
        <f t="shared" si="6"/>
        <v>10.417130892236063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237.5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237.49999999999989</v>
      </c>
      <c r="BE33" s="13">
        <f>BD33*VLOOKUP('Données projet'!$B$11,Paramètres!$A$1:$I$89,3,0)*VLOOKUP('Données projet'!$B$11,Paramètres!$A$1:$I$89,5,0)</f>
        <v>111.14999999999995</v>
      </c>
      <c r="BF33" s="13">
        <f t="shared" si="37"/>
        <v>29.601769319956546</v>
      </c>
      <c r="BG33" s="20">
        <f t="shared" si="7"/>
        <v>245.14266489892427</v>
      </c>
      <c r="BH33" s="59">
        <f t="shared" si="8"/>
        <v>538.47599823225755</v>
      </c>
      <c r="BI33" s="59">
        <f ca="1">AVERAGE(OFFSET($BH$3,0,0,'Données projet'!$E$11+1,1))-AVERAGE(OFFSET($H$3,0,0,'Données projet'!$E$11+1,1))</f>
        <v>215.23235148064941</v>
      </c>
      <c r="BJ33" s="59">
        <f t="shared" si="38"/>
        <v>184.07239726900434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45.9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3.1345816018206638</v>
      </c>
      <c r="BQ33" s="21">
        <f>EXP(-LN(2)/25)*BQ32+(1-EXP(-LN(2)/25))/(LN(2)/25)*Calculateur!BL33*Calculateur!BN33*VLOOKUP('Données projet'!$B$11,Paramètres!$A$1:$I$89,3,0)*0.475*44/12</f>
        <v>7.8554643539932272</v>
      </c>
      <c r="BR33" s="21">
        <f>EXP(-LN(2)/2)*BR32+(1-EXP(-LN(2)/2))/(LN(2)/2)*BL33*BO33*VLOOKUP('Données projet'!$B$11,Paramètres!$A$1:$I$89,3,0)*0.475*44/12</f>
        <v>9.8321764802959866</v>
      </c>
      <c r="BS33" s="22">
        <f t="shared" si="9"/>
        <v>20.822222436109875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105</v>
      </c>
      <c r="BW33" s="12">
        <f>VLOOKUP(A33,'Données projet'!$A$113:$I$133,9,0)</f>
        <v>6.3</v>
      </c>
      <c r="BX33" s="12">
        <f t="array" ref="BX33">INDEX(BW:BW,MIN(IF(ISNUMBER(BW33:BW229),ROW(BW33:BW229),"")))</f>
        <v>6.3</v>
      </c>
      <c r="BY33" s="12">
        <f>IF('Données projet'!$A$114&gt;35,BY32+BX33-CG32,IF(A33&lt;'Données projet'!$A$114,$BV$205^A33,IF(A33='Données projet'!$A$114,'Données projet'!$B$114,BY32+BX33-CG32)))</f>
        <v>104.99999999999997</v>
      </c>
      <c r="BZ33" s="13">
        <f>BY33*VLOOKUP('Données projet'!$B$12,Paramètres!$A$1:$I$89,3,0)*VLOOKUP('Données projet'!$B$12,Paramètres!$A$1:$I$89,5,0)</f>
        <v>113.02199999999996</v>
      </c>
      <c r="CA33" s="13">
        <f t="shared" si="39"/>
        <v>30.041864379091852</v>
      </c>
      <c r="CB33" s="20">
        <f t="shared" si="10"/>
        <v>249.16956379358496</v>
      </c>
      <c r="CC33" s="59">
        <f t="shared" si="11"/>
        <v>542.50289712691824</v>
      </c>
      <c r="CD33" s="59">
        <f ca="1">AVERAGE(OFFSET($CC$3,0,0,'Données projet'!$E$12+1,1))-AVERAGE(OFFSET($H$3,0,0,'Données projet'!$E$12+1,1))</f>
        <v>303.1504619632214</v>
      </c>
      <c r="CE33" s="59">
        <f t="shared" si="40"/>
        <v>188.09929616366503</v>
      </c>
      <c r="CF33" s="15">
        <f>IF(ISNA(VLOOKUP(A33,'Données projet'!$A$113:$I$133,3,0)),0,VLOOKUP(A33,'Données projet'!$A$113:$I$133,3,0))</f>
        <v>1</v>
      </c>
      <c r="CG33" s="15">
        <f>IF(ISNA(VLOOKUP(A33,'Données projet'!$A$113:$I$133,4,0)),0,VLOOKUP(A33,'Données projet'!$A$113:$I$133,4,0))</f>
        <v>29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3.694995412100063</v>
      </c>
      <c r="CM33" s="21">
        <f>EXP(-LN(2)/2)*CM32+(1-EXP(-LN(2)/2))/(LN(2)/2)*CG33*CJ33*VLOOKUP('Données projet'!$B$12,Paramètres!$A$1:$I$89,3,0)*0.475*44/12</f>
        <v>7.3631896888889896</v>
      </c>
      <c r="CN33" s="22">
        <f t="shared" si="12"/>
        <v>11.058185100989053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174</v>
      </c>
      <c r="CR33" s="12">
        <f>VLOOKUP(A33,'Données projet'!$A$139:$I$159,9,0)</f>
        <v>12.2</v>
      </c>
      <c r="CS33" s="12">
        <f t="array" ref="CS33">INDEX(CR:CR,MIN(IF(ISNUMBER(CR33:CR229),ROW(CR33:CR229),"")))</f>
        <v>12.2</v>
      </c>
      <c r="CT33" s="12">
        <f>IF('Données projet'!$A$140&gt;35,CT32+CS33-DB32,IF(A33&lt;'Données projet'!$A$140,$CQ$205^A33,IF(A33='Données projet'!$A$140,'Données projet'!$B$140,CT32+CS33-DB32)))</f>
        <v>173.99999999999997</v>
      </c>
      <c r="CU33" s="17">
        <f>CT33*VLOOKUP('Données projet'!$B$13,Paramètres!$A$1:$I$89,3,0)*VLOOKUP('Données projet'!$B$13,Paramètres!$A$1:$I$89,5,0)</f>
        <v>116.71919999999999</v>
      </c>
      <c r="CV33" s="13">
        <f t="shared" si="41"/>
        <v>30.908576435525887</v>
      </c>
      <c r="CW33" s="20">
        <f t="shared" si="13"/>
        <v>257.1183772918742</v>
      </c>
      <c r="CX33" s="59">
        <f t="shared" si="14"/>
        <v>550.45171062520751</v>
      </c>
      <c r="CY33" s="59">
        <f ca="1">AVERAGE(OFFSET($CX$3,0,0,'Données projet'!$E$13+1,1))-AVERAGE(OFFSET($H$3,0,0,'Données projet'!$E$13+1,1))</f>
        <v>156.63226020379989</v>
      </c>
      <c r="CZ33" s="59">
        <f t="shared" si="42"/>
        <v>196.0481096619543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56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8.6699605526413386</v>
      </c>
      <c r="DH33" s="21">
        <f>EXP(-LN(2)/2)*DH32+(1-EXP(-LN(2)/2))/(LN(2)/2)*DB33*DE33*VLOOKUP('Données projet'!$B$13,Paramètres!$A$1:$I$89,3,0)*0.475*44/12</f>
        <v>9.0734708021268382</v>
      </c>
      <c r="DI33" s="22">
        <f t="shared" si="15"/>
        <v>17.743431354768177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213</v>
      </c>
      <c r="DM33" s="12">
        <f>VLOOKUP(A33,'Données projet'!$A$165:$I$185,9,0)</f>
        <v>6.8</v>
      </c>
      <c r="DN33" s="12">
        <f t="array" ref="DN33">INDEX(DM:DM,MIN(IF(ISNUMBER(DM33:DM229),ROW(DM33:DM229),"")))</f>
        <v>6.8</v>
      </c>
      <c r="DO33" s="12">
        <f>IF('Données projet'!$A$166&gt;35,DO32+DN33-DW32,IF(A33&lt;'Données projet'!$A$166,$DL$205^A33,IF(A33='Données projet'!$A$166,'Données projet'!$B$166,DO32+DN33-DW32)))</f>
        <v>212.99999999999997</v>
      </c>
      <c r="DP33" s="17">
        <f>DO33*VLOOKUP('Données projet'!$B$14,Paramètres!$A$1:$I$89,3,0)*VLOOKUP('Données projet'!$B$14,Paramètres!$A$1:$I$89,5,0)</f>
        <v>192.72239999999996</v>
      </c>
      <c r="DQ33" s="13">
        <f t="shared" si="43"/>
        <v>48.141337574630874</v>
      </c>
      <c r="DR33" s="20">
        <f t="shared" si="16"/>
        <v>419.50434294248203</v>
      </c>
      <c r="DS33" s="59">
        <f t="shared" si="17"/>
        <v>712.83767627581528</v>
      </c>
      <c r="DT33" s="59">
        <f ca="1">AVERAGE(OFFSET($DS$3,0,0,'Données projet'!$E$14+1,1))-AVERAGE(OFFSET($H$3,0,0,'Données projet'!$E$14+1,1))</f>
        <v>225.28075317732998</v>
      </c>
      <c r="DU33" s="59">
        <f t="shared" si="44"/>
        <v>358.43407531256207</v>
      </c>
      <c r="DV33" s="15">
        <f>IF(ISNA(VLOOKUP(A33,'Données projet'!$A$165:$I$185,3,0)),0,VLOOKUP(A33,'Données projet'!$A$165:$I$185,3,0))</f>
        <v>6</v>
      </c>
      <c r="DW33" s="15">
        <f>IF(ISNA(VLOOKUP(A33,'Données projet'!$A$165:$I$185,4,0)),0,VLOOKUP(A33,'Données projet'!$A$165:$I$185,4,0))</f>
        <v>11</v>
      </c>
      <c r="DX33" s="16">
        <f>IF(ISNA(VLOOKUP(A33,'Données projet'!$A$165:$I$185,5,0)),0%,VLOOKUP(A33,'Données projet'!$A$165:$I$185,5,0)*VLOOKUP('Données projet'!$B$14,Paramètres!$A$1:$I$89,7,0))</f>
        <v>0.09</v>
      </c>
      <c r="DY33" s="16">
        <f>IF(ISNA(VLOOKUP(A33,'Données projet'!$A$165:$I$185,6,0)),0%,VLOOKUP(A33,'Données projet'!$A$165:$I$185,6,0)*VLOOKUP('Données projet'!$B$14,Paramètres!$A$1:$I$89,7,0))</f>
        <v>0.105</v>
      </c>
      <c r="DZ33" s="16">
        <f>IF(ISNA(VLOOKUP(A33,'Données projet'!$A$165:$I$185,7,0)),0%,VLOOKUP(A33,'Données projet'!$A$165:$I$185,7,0))</f>
        <v>0.35</v>
      </c>
      <c r="EA33" s="21">
        <f>EXP(-LN(2)/35)*EA32+(1-EXP(-LN(2)/35))/(LN(2)/35)*DW33*DX33*VLOOKUP('Données projet'!$B$14,Paramètres!$A$1:$I$89,3,0)*0.475*44/12</f>
        <v>2.2435240851310567</v>
      </c>
      <c r="EB33" s="21">
        <f>EXP(-LN(2)/25)*EB32+(1-EXP(-LN(2)/25))/(LN(2)/25)*Calculateur!DW33*Calculateur!DY33*VLOOKUP('Données projet'!$B$14,Paramètres!$A$1:$I$89,3,0)*0.475*44/12</f>
        <v>8.2720566800612207</v>
      </c>
      <c r="EC33" s="21">
        <f>EXP(-LN(2)/2)*EC32+(1-EXP(-LN(2)/2))/(LN(2)/2)*DW33*DZ33*VLOOKUP('Données projet'!$B$14,Paramètres!$A$1:$I$89,3,0)*0.475*44/12</f>
        <v>4.4140211149695201</v>
      </c>
      <c r="ED33" s="22">
        <f t="shared" si="18"/>
        <v>14.929601880161798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321</v>
      </c>
      <c r="EH33" s="12">
        <f>VLOOKUP(A33,'Données projet'!$A$191:$I$211,9,0)</f>
        <v>22.2</v>
      </c>
      <c r="EI33" s="12">
        <f t="array" ref="EI33">INDEX(EH:EH,MIN(IF(ISNUMBER(EH33:EH229),ROW(EH33:EH229),"")))</f>
        <v>22.2</v>
      </c>
      <c r="EJ33" s="12">
        <f>IF('Données projet'!$A$192&gt;35,EJ32+EI33-ER32,IF(A33&lt;'Données projet'!$A$192,$EG$205^A33,IF(A33='Données projet'!$A$192,'Données projet'!$B$192,EJ32+EI33-ER32)))</f>
        <v>320.99999999999989</v>
      </c>
      <c r="EK33" s="17">
        <f>EJ33*VLOOKUP('Données projet'!$B$15,Paramètres!$A$1:$I$89,3,0)*VLOOKUP('Données projet'!$B$15,Paramètres!$A$1:$I$89,5,0)</f>
        <v>179.43899999999994</v>
      </c>
      <c r="EL33" s="13">
        <f t="shared" si="45"/>
        <v>45.19735133639599</v>
      </c>
      <c r="EM33" s="20">
        <f t="shared" si="19"/>
        <v>391.24164524422287</v>
      </c>
      <c r="EN33" s="59">
        <f t="shared" si="20"/>
        <v>684.57497857755618</v>
      </c>
      <c r="EO33" s="59">
        <f ca="1">AVERAGE(OFFSET($EN$3,0,0,'Données projet'!$E$15+1,1))-AVERAGE(OFFSET($H$3,0,0,'Données projet'!$E$15+1,1))</f>
        <v>326.31232746914907</v>
      </c>
      <c r="EP33" s="59">
        <f t="shared" si="46"/>
        <v>330.17137761430297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112</v>
      </c>
      <c r="ES33" s="16">
        <f>IF(ISNA(VLOOKUP(A33,'Données projet'!$A$191:$I$211,5,0)),0%,VLOOKUP(A33,'Données projet'!$A$191:$I$211,5,0)*VLOOKUP('Données projet'!$B$15,Paramètres!$A$1:$I$89,7,0))</f>
        <v>5.5000000000000007E-2</v>
      </c>
      <c r="ET33" s="16">
        <f>IF(ISNA(VLOOKUP(A33,'Données projet'!$A$191:$I$211,6,0)),0%,VLOOKUP(A33,'Données projet'!$A$191:$I$211,6,0)*VLOOKUP('Données projet'!$B$15,Paramètres!$A$1:$I$89,7,0))</f>
        <v>0.24750000000000003</v>
      </c>
      <c r="EU33" s="16">
        <f>IF(ISNA(VLOOKUP(A33,'Données projet'!$A$191:$I$211,7,0)),0%,VLOOKUP(A33,'Données projet'!$A$191:$I$211,7,0))</f>
        <v>0.45</v>
      </c>
      <c r="EV33" s="21">
        <f>EXP(-LN(2)/35)*EV32+(1-EXP(-LN(2)/35))/(LN(2)/35)*ER33*ES33*VLOOKUP('Données projet'!$B$15,Paramètres!$A$1:$I$89,3,0)*0.475*44/12</f>
        <v>4.5679451084387308</v>
      </c>
      <c r="EW33" s="21">
        <f>EXP(-LN(2)/25)*EW32+(1-EXP(-LN(2)/25))/(LN(2)/25)*Calculateur!ER33*Calculateur!ET33*VLOOKUP('Données projet'!$B$15,Paramètres!$A$1:$I$89,3,0)*0.475*44/12</f>
        <v>30.172948268535706</v>
      </c>
      <c r="EX33" s="21">
        <f>EXP(-LN(2)/2)*EX32+(1-EXP(-LN(2)/2))/(LN(2)/2)*ER33*EU33*VLOOKUP('Données projet'!$B$15,Paramètres!$A$1:$I$89,3,0)*0.475*44/12</f>
        <v>32.522088370435227</v>
      </c>
      <c r="EY33" s="22">
        <f t="shared" si="21"/>
        <v>67.262981747409668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263</v>
      </c>
      <c r="FC33" s="12">
        <f>VLOOKUP(A33,'Données projet'!$A$217:$I$237,9,0)</f>
        <v>16.5</v>
      </c>
      <c r="FD33" s="12">
        <f t="array" ref="FD33">INDEX(FC:FC,MIN(IF(ISNUMBER(FC33:FC229),ROW(FC33:FC229),"")))</f>
        <v>16.5</v>
      </c>
      <c r="FE33" s="12">
        <f>IF('Données projet'!$A$218&gt;35,FE32+FD33-FM32,IF(A33&lt;'Données projet'!$A$218,$FB$205^A33,IF(A33='Données projet'!$A$218,'Données projet'!$B$218,FE32+FD33-FM32)))</f>
        <v>263</v>
      </c>
      <c r="FF33" s="17">
        <f>FE33*VLOOKUP('Données projet'!$B$16,Paramètres!$A$1:$I$89,3,0)*VLOOKUP('Données projet'!$B$16,Paramètres!$A$1:$I$89,5,0)</f>
        <v>164.11199999999999</v>
      </c>
      <c r="FG33" s="13">
        <f t="shared" si="47"/>
        <v>41.768614316008147</v>
      </c>
      <c r="FH33" s="20">
        <f t="shared" si="22"/>
        <v>358.57540326704753</v>
      </c>
      <c r="FI33" s="59">
        <f t="shared" si="23"/>
        <v>651.90873660038085</v>
      </c>
      <c r="FJ33" s="59">
        <f ca="1">AVERAGE(OFFSET($FI$3,0,0,'Données projet'!$E$16+1,1))-AVERAGE(OFFSET($H$3,0,0,'Données projet'!$E$16+1,1))</f>
        <v>255.41017495879987</v>
      </c>
      <c r="FK33" s="59">
        <f t="shared" si="48"/>
        <v>297.50513563712764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84</v>
      </c>
      <c r="FN33" s="16">
        <f>IF(ISNA(VLOOKUP(A33,'Données projet'!$A$217:$I$237,5,0)),0%,VLOOKUP(A33,'Données projet'!$A$217:$I$237,5,0)*VLOOKUP('Données projet'!$B$16,Paramètres!$A$1:$I$89,7,0))</f>
        <v>0.12</v>
      </c>
      <c r="FO33" s="16">
        <f>IF(ISNA(VLOOKUP(A33,'Données projet'!$A$217:$I$237,6,0)),0%,VLOOKUP(A33,'Données projet'!$A$217:$I$237,6,0)*VLOOKUP('Données projet'!$B$16,Paramètres!$A$1:$I$89,7,0))</f>
        <v>0.24</v>
      </c>
      <c r="FP33" s="16">
        <f>IF(ISNA(VLOOKUP(A33,'Données projet'!$A$217:$I$237,7,0)),0%,VLOOKUP(A33,'Données projet'!$A$217:$I$237,7,0))</f>
        <v>0.4</v>
      </c>
      <c r="FQ33" s="21">
        <f>EXP(-LN(2)/35)*FQ32+(1-EXP(-LN(2)/35))/(LN(2)/35)*FM33*FN33*VLOOKUP('Données projet'!$B$16,Paramètres!$A$1:$I$89,3,0)*0.475*44/12</f>
        <v>8.3439842995582705</v>
      </c>
      <c r="FR33" s="21">
        <f>EXP(-LN(2)/25)*FR32+(1-EXP(-LN(2)/25))/(LN(2)/25)*Calculateur!FM33*Calculateur!FO33*VLOOKUP('Données projet'!$B$16,Paramètres!$A$1:$I$89,3,0)*0.475*44/12</f>
        <v>27.869867709859399</v>
      </c>
      <c r="FS33" s="21">
        <f>EXP(-LN(2)/2)*FS32+(1-EXP(-LN(2)/2))/(LN(2)/2)*FM33*FP33*VLOOKUP('Données projet'!$B$16,Paramètres!$A$1:$I$89,3,0)*0.475*44/12</f>
        <v>24.401191136911876</v>
      </c>
      <c r="FT33" s="22">
        <f t="shared" si="24"/>
        <v>60.615043146329548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257</v>
      </c>
      <c r="FX33" s="12">
        <f>VLOOKUP(A33,'Données projet'!$A$243:$I$263,9,0)</f>
        <v>15.8</v>
      </c>
      <c r="FY33" s="12">
        <f t="array" ref="FY33">INDEX(FX:FX,MIN(IF(ISNUMBER(FX33:FX229),ROW(FX33:FX229),"")))</f>
        <v>15.8</v>
      </c>
      <c r="FZ33" s="12">
        <f>IF('Données projet'!$A$244&gt;35,FZ32+FY33-GH32,IF(A33&lt;'Données projet'!$A$244,$FW$205^A33,IF(A33='Données projet'!$A$244,'Données projet'!$B$244,FZ32+FY33-GH32)))</f>
        <v>257.00000000000011</v>
      </c>
      <c r="GA33" s="17">
        <f>FZ33*VLOOKUP('Données projet'!$B$17,Paramètres!$A$1:$I$89,3,0)*VLOOKUP('Données projet'!$B$17,Paramètres!$A$1:$I$89,5,0)</f>
        <v>153.68600000000006</v>
      </c>
      <c r="GB33" s="13">
        <f t="shared" si="49"/>
        <v>39.415055172513433</v>
      </c>
      <c r="GC33" s="20">
        <f t="shared" si="25"/>
        <v>336.31767109212768</v>
      </c>
      <c r="GD33" s="59">
        <f t="shared" si="26"/>
        <v>629.651004425461</v>
      </c>
      <c r="GE33" s="59">
        <f ca="1">AVERAGE(OFFSET($GD$3,0,0,'Données projet'!$E$17+1,1))-AVERAGE(OFFSET($H$3,0,0,'Données projet'!$E$17+1,1))</f>
        <v>259.30247982593914</v>
      </c>
      <c r="GF33" s="59">
        <f t="shared" si="50"/>
        <v>275.24740346220779</v>
      </c>
      <c r="GG33" s="15">
        <f>IF(ISNA(VLOOKUP(A33,'Données projet'!$A$243:$I$263,3,0)),0,VLOOKUP(A33,'Données projet'!$A$243:$I$263,3,0))</f>
        <v>2</v>
      </c>
      <c r="GH33" s="15">
        <f>IF(ISNA(VLOOKUP(A33,'Données projet'!$A$243:$I$263,4,0)),0,VLOOKUP(A33,'Données projet'!$A$243:$I$263,4,0))</f>
        <v>84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0.22500000000000001</v>
      </c>
      <c r="GK33" s="16">
        <f>IF(ISNA(VLOOKUP(A33,'Données projet'!$A$243:$I$263,7,0)),0%,VLOOKUP(A33,'Données projet'!$A$243:$I$263,7,0))</f>
        <v>0.5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18.033013031997843</v>
      </c>
      <c r="GN33" s="21">
        <f>EXP(-LN(2)/2)*GN32+(1-EXP(-LN(2)/2))/(LN(2)/2)*GH33*GK33*VLOOKUP('Données projet'!$B$17,Paramètres!$A$1:$I$89,3,0)*0.475*44/12</f>
        <v>28.680470181865015</v>
      </c>
      <c r="GO33" s="21">
        <f t="shared" si="27"/>
        <v>46.713483213862858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174</v>
      </c>
      <c r="GS33" s="12">
        <f>VLOOKUP(A33,'Données projet'!$A$269:$I$289,9,0)</f>
        <v>12.2</v>
      </c>
      <c r="GT33" s="12">
        <f t="array" ref="GT33">INDEX(GS:GS,MIN(IF(ISNUMBER(GS33:GS229),ROW(GS33:GS229),"")))</f>
        <v>12.2</v>
      </c>
      <c r="GU33" s="12">
        <f>IF('Données projet'!$A$270&gt;35,GU32+GT33-HC32,IF(A33&lt;'Données projet'!$A$270,$GR$205^A33,IF(A33='Données projet'!$A$270,'Données projet'!$B$270,GU32+GT33-HC32)))</f>
        <v>173.99999999999997</v>
      </c>
      <c r="GV33" s="17">
        <f>GU33*VLOOKUP('Données projet'!$B$18,Paramètres!$A$1:$I$89,3,0)*VLOOKUP('Données projet'!$B$18,Paramètres!$A$1:$I$89,5,0)</f>
        <v>138.43439999999998</v>
      </c>
      <c r="GW33" s="13">
        <f t="shared" si="51"/>
        <v>35.938114113553581</v>
      </c>
      <c r="GX33" s="20">
        <f t="shared" si="28"/>
        <v>303.69879541443913</v>
      </c>
      <c r="GY33" s="59">
        <f t="shared" si="29"/>
        <v>597.0321287477725</v>
      </c>
      <c r="GZ33" s="59">
        <f ca="1">AVERAGE(OFFSET($GY$3,0,0,'Données projet'!$E$18+1,1))-AVERAGE(OFFSET($H$3,0,0,'Données projet'!$E$18+1,1))</f>
        <v>199.58763537752952</v>
      </c>
      <c r="HA33" s="59">
        <f t="shared" si="52"/>
        <v>242.62852778451929</v>
      </c>
      <c r="HB33" s="15">
        <f>IF(ISNA(VLOOKUP(A33,'Données projet'!$A$269:$I$289,3,0)),0,VLOOKUP(A33,'Données projet'!$A$269:$I$289,3,0))</f>
        <v>2</v>
      </c>
      <c r="HC33" s="15">
        <f>IF(ISNA(VLOOKUP(A33,'Données projet'!$A$269:$I$289,4,0)),0,VLOOKUP(A33,'Données projet'!$A$269:$I$289,4,0))</f>
        <v>56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0.13250000000000001</v>
      </c>
      <c r="HF33" s="16">
        <f>IF(ISNA(VLOOKUP(A33,'Données projet'!$A$269:$I$289,7,0)),0%,VLOOKUP(A33,'Données projet'!$A$269:$I$289,7,0))</f>
        <v>0.25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10.282976469411818</v>
      </c>
      <c r="HI33" s="21">
        <f>EXP(-LN(2)/2)*HI32+(1-EXP(-LN(2)/2))/(LN(2)/2)*HC33*HF33*VLOOKUP('Données projet'!$B$18,Paramètres!$A$1:$I$89,3,0)*0.475*44/12</f>
        <v>10.761558393220204</v>
      </c>
      <c r="HJ33" s="22">
        <f t="shared" si="30"/>
        <v>21.04453486263202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8.1999999999999993</v>
      </c>
      <c r="N34" s="13">
        <f>IF('Données projet'!$A$36&gt;35,N33+M34-V33,IF(A34&lt;'Données projet'!$A$36,$K$205^A34,IF(A34='Données projet'!$A$36,'Données projet'!$B$36,N33+M34-V33)))</f>
        <v>84.199999999999974</v>
      </c>
      <c r="O34" s="13">
        <f>N34*VLOOKUP('Données projet'!$B$9,Paramètres!$A$1:$I$89,3,0)*VLOOKUP('Données projet'!$B$9,Paramètres!$A$1:$I$89,5,0)</f>
        <v>76.184159999999977</v>
      </c>
      <c r="P34" s="13">
        <f t="shared" si="33"/>
        <v>21.201554232857205</v>
      </c>
      <c r="Q34" s="20">
        <f t="shared" si="2"/>
        <v>169.61345228889294</v>
      </c>
      <c r="R34" s="59">
        <f t="shared" si="0"/>
        <v>462.94678562222623</v>
      </c>
      <c r="S34" s="59">
        <f ca="1">AVERAGE(OFFSET($R$3,0,0,'Données projet'!$E$9+1,1))-AVERAGE(OFFSET($H$3,0,0,'Données projet'!$E$9+1,1))</f>
        <v>237.22177246688199</v>
      </c>
      <c r="T34" s="59">
        <f t="shared" si="34"/>
        <v>149.27472147904302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3.0210061298289821</v>
      </c>
      <c r="AB34" s="21">
        <f>EXP(-LN(2)/2)*AB33+(1-EXP(-LN(2)/2))/(LN(2)/2)*V34*Y34*VLOOKUP('Données projet'!$B$9,Paramètres!$A$1:$I$89,3,0)*0.475*44/12</f>
        <v>4.3765298389887484</v>
      </c>
      <c r="AC34" s="22">
        <f t="shared" si="3"/>
        <v>7.3975359688177305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8.1999999999999993</v>
      </c>
      <c r="AI34" s="13">
        <f>IF('Données projet'!$A$62&gt;35,AI33+AH34-AQ33,IF(A34&lt;'Données projet'!$A$62,$AF$205^A34,IF(A34='Données projet'!$A$62,'Données projet'!$B$62,AI33+AH34-AQ33)))</f>
        <v>84.199999999999974</v>
      </c>
      <c r="AJ34" s="13">
        <f>AI34*VLOOKUP('Données projet'!$B$10,Paramètres!$A$1:$I$89,3,0)*VLOOKUP('Données projet'!$B$10,Paramètres!$A$1:$I$89,5,0)</f>
        <v>85.37879999999997</v>
      </c>
      <c r="AK34" s="13">
        <f t="shared" si="35"/>
        <v>23.447306793896495</v>
      </c>
      <c r="AL34" s="20">
        <f t="shared" si="4"/>
        <v>189.53880266603633</v>
      </c>
      <c r="AM34" s="59">
        <f t="shared" si="5"/>
        <v>482.87213599936968</v>
      </c>
      <c r="AN34" s="59">
        <f ca="1">AVERAGE(OFFSET($AM$3,0,0,'Données projet'!$E$10+1,1))-AVERAGE(OFFSET($H$3,0,0,'Données projet'!$E$10+1,1))</f>
        <v>279.20364724206644</v>
      </c>
      <c r="AO34" s="59">
        <f t="shared" si="36"/>
        <v>173.99850582760712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3.38561031791179</v>
      </c>
      <c r="AW34" s="21">
        <f>EXP(-LN(2)/2)*AW33+(1-EXP(-LN(2)/2))/(LN(2)/2)*AQ34*AT34*VLOOKUP('Données projet'!$B$10,Paramètres!$A$1:$I$89,3,0)*0.475*44/12</f>
        <v>4.9047317161080803</v>
      </c>
      <c r="AX34" s="21">
        <f t="shared" si="6"/>
        <v>8.2903420340198704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10.000000000000004</v>
      </c>
      <c r="BD34" s="12">
        <f>IF('Données projet'!$A$88&gt;35,BD33+BC34-BL33,IF(A34&lt;'Données projet'!$A$88,$BA$205^A34,IF(A34='Données projet'!$A$88,'Données projet'!$B$88,BD33+BC34-BL33)))</f>
        <v>201.59999999999988</v>
      </c>
      <c r="BE34" s="13">
        <f>BD34*VLOOKUP('Données projet'!$B$11,Paramètres!$A$1:$I$89,3,0)*VLOOKUP('Données projet'!$B$11,Paramètres!$A$1:$I$89,5,0)</f>
        <v>94.34879999999994</v>
      </c>
      <c r="BF34" s="13">
        <f t="shared" si="37"/>
        <v>25.611153022386439</v>
      </c>
      <c r="BG34" s="20">
        <f t="shared" si="7"/>
        <v>208.93025151398959</v>
      </c>
      <c r="BH34" s="59">
        <f t="shared" si="8"/>
        <v>502.26358484732293</v>
      </c>
      <c r="BI34" s="59">
        <f ca="1">AVERAGE(OFFSET($BH$3,0,0,'Données projet'!$E$11+1,1))-AVERAGE(OFFSET($H$3,0,0,'Données projet'!$E$11+1,1))</f>
        <v>215.23235148064941</v>
      </c>
      <c r="BJ34" s="59">
        <f t="shared" si="38"/>
        <v>184.07239726900434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3.0731143685149527</v>
      </c>
      <c r="BQ34" s="21">
        <f>EXP(-LN(2)/25)*BQ33+(1-EXP(-LN(2)/25))/(LN(2)/25)*Calculateur!BL34*Calculateur!BN34*VLOOKUP('Données projet'!$B$11,Paramètres!$A$1:$I$89,3,0)*0.475*44/12</f>
        <v>7.640656268132366</v>
      </c>
      <c r="BR34" s="21">
        <f>EXP(-LN(2)/2)*BR33+(1-EXP(-LN(2)/2))/(LN(2)/2)*BL34*BO34*VLOOKUP('Données projet'!$B$11,Paramètres!$A$1:$I$89,3,0)*0.475*44/12</f>
        <v>6.9523986630401735</v>
      </c>
      <c r="BS34" s="22">
        <f t="shared" si="9"/>
        <v>17.666169299687493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8.1999999999999993</v>
      </c>
      <c r="BY34" s="12">
        <f>IF('Données projet'!$A$114&gt;35,BY33+BX34-CG33,IF(A34&lt;'Données projet'!$A$114,$BV$205^A34,IF(A34='Données projet'!$A$114,'Données projet'!$B$114,BY33+BX34-CG33)))</f>
        <v>84.199999999999974</v>
      </c>
      <c r="BZ34" s="13">
        <f>BY34*VLOOKUP('Données projet'!$B$12,Paramètres!$A$1:$I$89,3,0)*VLOOKUP('Données projet'!$B$12,Paramètres!$A$1:$I$89,5,0)</f>
        <v>90.632879999999972</v>
      </c>
      <c r="CA34" s="13">
        <f t="shared" si="39"/>
        <v>24.717798105117861</v>
      </c>
      <c r="CB34" s="20">
        <f t="shared" si="10"/>
        <v>200.90243103308021</v>
      </c>
      <c r="CC34" s="59">
        <f t="shared" si="11"/>
        <v>494.23576436641349</v>
      </c>
      <c r="CD34" s="59">
        <f ca="1">AVERAGE(OFFSET($CC$3,0,0,'Données projet'!$E$12+1,1))-AVERAGE(OFFSET($H$3,0,0,'Données projet'!$E$12+1,1))</f>
        <v>303.1504619632214</v>
      </c>
      <c r="CE34" s="59">
        <f t="shared" si="40"/>
        <v>188.09929616366503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3.593955568244823</v>
      </c>
      <c r="CM34" s="21">
        <f>EXP(-LN(2)/2)*CM33+(1-EXP(-LN(2)/2))/(LN(2)/2)*CG34*CJ34*VLOOKUP('Données projet'!$B$12,Paramètres!$A$1:$I$89,3,0)*0.475*44/12</f>
        <v>5.2065613601762699</v>
      </c>
      <c r="CN34" s="22">
        <f t="shared" si="12"/>
        <v>8.8005169284210929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10.199999999999999</v>
      </c>
      <c r="CT34" s="12">
        <f>IF('Données projet'!$A$140&gt;35,CT33+CS34-DB33,IF(A34&lt;'Données projet'!$A$140,$CQ$205^A34,IF(A34='Données projet'!$A$140,'Données projet'!$B$140,CT33+CS34-DB33)))</f>
        <v>128.19999999999996</v>
      </c>
      <c r="CU34" s="17">
        <f>CT34*VLOOKUP('Données projet'!$B$13,Paramètres!$A$1:$I$89,3,0)*VLOOKUP('Données projet'!$B$13,Paramètres!$A$1:$I$89,5,0)</f>
        <v>85.996559999999974</v>
      </c>
      <c r="CV34" s="13">
        <f t="shared" si="41"/>
        <v>23.597149628000455</v>
      </c>
      <c r="CW34" s="20">
        <f t="shared" si="13"/>
        <v>190.87571093543406</v>
      </c>
      <c r="CX34" s="59">
        <f t="shared" si="14"/>
        <v>484.20904426876734</v>
      </c>
      <c r="CY34" s="59">
        <f ca="1">AVERAGE(OFFSET($CX$3,0,0,'Données projet'!$E$13+1,1))-AVERAGE(OFFSET($H$3,0,0,'Données projet'!$E$13+1,1))</f>
        <v>156.63226020379989</v>
      </c>
      <c r="CZ34" s="59">
        <f t="shared" si="42"/>
        <v>196.0481096619543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8.4328800253959511</v>
      </c>
      <c r="DH34" s="21">
        <f>EXP(-LN(2)/2)*DH33+(1-EXP(-LN(2)/2))/(LN(2)/2)*DB34*DE34*VLOOKUP('Données projet'!$B$13,Paramètres!$A$1:$I$89,3,0)*0.475*44/12</f>
        <v>6.4159127330820303</v>
      </c>
      <c r="DI34" s="22">
        <f t="shared" si="15"/>
        <v>14.84879275847798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5.2</v>
      </c>
      <c r="DO34" s="12">
        <f>IF('Données projet'!$A$166&gt;35,DO33+DN34-DW33,IF(A34&lt;'Données projet'!$A$166,$DL$205^A34,IF(A34='Données projet'!$A$166,'Données projet'!$B$166,DO33+DN34-DW33)))</f>
        <v>207.19999999999996</v>
      </c>
      <c r="DP34" s="17">
        <f>DO34*VLOOKUP('Données projet'!$B$14,Paramètres!$A$1:$I$89,3,0)*VLOOKUP('Données projet'!$B$14,Paramètres!$A$1:$I$89,5,0)</f>
        <v>187.47455999999997</v>
      </c>
      <c r="DQ34" s="13">
        <f t="shared" si="43"/>
        <v>46.981179851370101</v>
      </c>
      <c r="DR34" s="20">
        <f t="shared" si="16"/>
        <v>408.34374690780288</v>
      </c>
      <c r="DS34" s="59">
        <f t="shared" si="17"/>
        <v>701.6770802411362</v>
      </c>
      <c r="DT34" s="59">
        <f ca="1">AVERAGE(OFFSET($DS$3,0,0,'Données projet'!$E$14+1,1))-AVERAGE(OFFSET($H$3,0,0,'Données projet'!$E$14+1,1))</f>
        <v>225.28075317732998</v>
      </c>
      <c r="DU34" s="59">
        <f t="shared" si="44"/>
        <v>358.43407531256207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2.199529946236209</v>
      </c>
      <c r="EB34" s="21">
        <f>EXP(-LN(2)/25)*EB33+(1-EXP(-LN(2)/25))/(LN(2)/25)*Calculateur!DW34*Calculateur!DY34*VLOOKUP('Données projet'!$B$14,Paramètres!$A$1:$I$89,3,0)*0.475*44/12</f>
        <v>8.0458568551363925</v>
      </c>
      <c r="EC34" s="21">
        <f>EXP(-LN(2)/2)*EC33+(1-EXP(-LN(2)/2))/(LN(2)/2)*DW34*DZ34*VLOOKUP('Données projet'!$B$14,Paramètres!$A$1:$I$89,3,0)*0.475*44/12</f>
        <v>3.1211842626955533</v>
      </c>
      <c r="ED34" s="22">
        <f t="shared" si="18"/>
        <v>13.366571064068156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22</v>
      </c>
      <c r="EJ34" s="12">
        <f>IF('Données projet'!$A$192&gt;35,EJ33+EI34-ER33,IF(A34&lt;'Données projet'!$A$192,$EG$205^A34,IF(A34='Données projet'!$A$192,'Données projet'!$B$192,EJ33+EI34-ER33)))</f>
        <v>230.99999999999989</v>
      </c>
      <c r="EK34" s="17">
        <f>EJ34*VLOOKUP('Données projet'!$B$15,Paramètres!$A$1:$I$89,3,0)*VLOOKUP('Données projet'!$B$15,Paramètres!$A$1:$I$89,5,0)</f>
        <v>129.12899999999993</v>
      </c>
      <c r="EL34" s="13">
        <f t="shared" si="45"/>
        <v>33.795018128858409</v>
      </c>
      <c r="EM34" s="20">
        <f t="shared" si="19"/>
        <v>283.75933157442824</v>
      </c>
      <c r="EN34" s="59">
        <f t="shared" si="20"/>
        <v>577.09266490776156</v>
      </c>
      <c r="EO34" s="59">
        <f ca="1">AVERAGE(OFFSET($EN$3,0,0,'Données projet'!$E$15+1,1))-AVERAGE(OFFSET($H$3,0,0,'Données projet'!$E$15+1,1))</f>
        <v>326.31232746914907</v>
      </c>
      <c r="EP34" s="59">
        <f t="shared" si="46"/>
        <v>330.17137761430297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4.4783704910336519</v>
      </c>
      <c r="EW34" s="21">
        <f>EXP(-LN(2)/25)*EW33+(1-EXP(-LN(2)/25))/(LN(2)/25)*Calculateur!ER34*Calculateur!ET34*VLOOKUP('Données projet'!$B$15,Paramètres!$A$1:$I$89,3,0)*0.475*44/12</f>
        <v>29.347867411406209</v>
      </c>
      <c r="EX34" s="21">
        <f>EXP(-LN(2)/2)*EX33+(1-EXP(-LN(2)/2))/(LN(2)/2)*ER34*EU34*VLOOKUP('Données projet'!$B$15,Paramètres!$A$1:$I$89,3,0)*0.475*44/12</f>
        <v>22.996589225082907</v>
      </c>
      <c r="EY34" s="22">
        <f t="shared" si="21"/>
        <v>56.822827127522771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15.1</v>
      </c>
      <c r="FE34" s="12">
        <f>IF('Données projet'!$A$218&gt;35,FE33+FD34-FM33,IF(A34&lt;'Données projet'!$A$218,$FB$205^A34,IF(A34='Données projet'!$A$218,'Données projet'!$B$218,FE33+FD34-FM33)))</f>
        <v>194.10000000000002</v>
      </c>
      <c r="FF34" s="17">
        <f>FE34*VLOOKUP('Données projet'!$B$16,Paramètres!$A$1:$I$89,3,0)*VLOOKUP('Données projet'!$B$16,Paramètres!$A$1:$I$89,5,0)</f>
        <v>121.11840000000001</v>
      </c>
      <c r="FG34" s="13">
        <f t="shared" si="47"/>
        <v>31.935706725782151</v>
      </c>
      <c r="FH34" s="20">
        <f t="shared" si="22"/>
        <v>266.56923588073727</v>
      </c>
      <c r="FI34" s="59">
        <f t="shared" si="23"/>
        <v>559.90256921407058</v>
      </c>
      <c r="FJ34" s="59">
        <f ca="1">AVERAGE(OFFSET($FI$3,0,0,'Données projet'!$E$16+1,1))-AVERAGE(OFFSET($H$3,0,0,'Données projet'!$E$16+1,1))</f>
        <v>255.41017495879987</v>
      </c>
      <c r="FK34" s="59">
        <f t="shared" si="48"/>
        <v>297.50513563712764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8.1803638567718266</v>
      </c>
      <c r="FR34" s="21">
        <f>EXP(-LN(2)/25)*FR33+(1-EXP(-LN(2)/25))/(LN(2)/25)*Calculateur!FM34*Calculateur!FO34*VLOOKUP('Données projet'!$B$16,Paramètres!$A$1:$I$89,3,0)*0.475*44/12</f>
        <v>27.107764711720648</v>
      </c>
      <c r="FS34" s="21">
        <f>EXP(-LN(2)/2)*FS33+(1-EXP(-LN(2)/2))/(LN(2)/2)*FM34*FP34*VLOOKUP('Données projet'!$B$16,Paramètres!$A$1:$I$89,3,0)*0.475*44/12</f>
        <v>17.254247721939471</v>
      </c>
      <c r="FT34" s="22">
        <f t="shared" si="24"/>
        <v>52.542376290431946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12.4</v>
      </c>
      <c r="FZ34" s="12">
        <f>IF('Données projet'!$A$244&gt;35,FZ33+FY34-GH33,IF(A34&lt;'Données projet'!$A$244,$FW$205^A34,IF(A34='Données projet'!$A$244,'Données projet'!$B$244,FZ33+FY34-GH33)))</f>
        <v>185.40000000000009</v>
      </c>
      <c r="GA34" s="17">
        <f>FZ34*VLOOKUP('Données projet'!$B$17,Paramètres!$A$1:$I$89,3,0)*VLOOKUP('Données projet'!$B$17,Paramètres!$A$1:$I$89,5,0)</f>
        <v>110.86920000000006</v>
      </c>
      <c r="GB34" s="13">
        <f t="shared" si="49"/>
        <v>29.535680967701619</v>
      </c>
      <c r="GC34" s="20">
        <f t="shared" si="25"/>
        <v>244.53850101874707</v>
      </c>
      <c r="GD34" s="59">
        <f t="shared" si="26"/>
        <v>537.87183435208044</v>
      </c>
      <c r="GE34" s="59">
        <f ca="1">AVERAGE(OFFSET($GD$3,0,0,'Données projet'!$E$17+1,1))-AVERAGE(OFFSET($H$3,0,0,'Données projet'!$E$17+1,1))</f>
        <v>259.30247982593914</v>
      </c>
      <c r="GF34" s="59">
        <f t="shared" si="50"/>
        <v>275.24740346220779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17.539899342322922</v>
      </c>
      <c r="GN34" s="21">
        <f>EXP(-LN(2)/2)*GN33+(1-EXP(-LN(2)/2))/(LN(2)/2)*GH34*GK34*VLOOKUP('Données projet'!$B$17,Paramètres!$A$1:$I$89,3,0)*0.475*44/12</f>
        <v>20.280154953215327</v>
      </c>
      <c r="GO34" s="21">
        <f t="shared" si="27"/>
        <v>37.820054295538249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10.199999999999999</v>
      </c>
      <c r="GU34" s="12">
        <f>IF('Données projet'!$A$270&gt;35,GU33+GT34-HC33,IF(A34&lt;'Données projet'!$A$270,$GR$205^A34,IF(A34='Données projet'!$A$270,'Données projet'!$B$270,GU33+GT34-HC33)))</f>
        <v>128.19999999999996</v>
      </c>
      <c r="GV34" s="17">
        <f>GU34*VLOOKUP('Données projet'!$B$18,Paramètres!$A$1:$I$89,3,0)*VLOOKUP('Données projet'!$B$18,Paramètres!$A$1:$I$89,5,0)</f>
        <v>101.99591999999997</v>
      </c>
      <c r="GW34" s="13">
        <f t="shared" si="51"/>
        <v>27.436949671708501</v>
      </c>
      <c r="GX34" s="20">
        <f t="shared" si="28"/>
        <v>225.42891467822554</v>
      </c>
      <c r="GY34" s="59">
        <f t="shared" si="29"/>
        <v>518.76224801155888</v>
      </c>
      <c r="GZ34" s="59">
        <f ca="1">AVERAGE(OFFSET($GY$3,0,0,'Données projet'!$E$18+1,1))-AVERAGE(OFFSET($H$3,0,0,'Données projet'!$E$18+1,1))</f>
        <v>199.58763537752952</v>
      </c>
      <c r="HA34" s="59">
        <f t="shared" si="52"/>
        <v>242.62852778451929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10.001787937097522</v>
      </c>
      <c r="HI34" s="21">
        <f>EXP(-LN(2)/2)*HI33+(1-EXP(-LN(2)/2))/(LN(2)/2)*HC34*HF34*VLOOKUP('Données projet'!$B$18,Paramètres!$A$1:$I$89,3,0)*0.475*44/12</f>
        <v>7.6095709159810134</v>
      </c>
      <c r="HJ34" s="22">
        <f t="shared" si="30"/>
        <v>17.611358853078535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8.1999999999999993</v>
      </c>
      <c r="N35" s="13">
        <f>IF('Données projet'!$A$36&gt;35,N34+M35-V34,IF(A35&lt;'Données projet'!$A$36,$K$205^A35,IF(A35='Données projet'!$A$36,'Données projet'!$B$36,N34+M35-V34)))</f>
        <v>92.399999999999977</v>
      </c>
      <c r="O35" s="13">
        <f>N35*VLOOKUP('Données projet'!$B$9,Paramètres!$A$1:$I$89,3,0)*VLOOKUP('Données projet'!$B$9,Paramètres!$A$1:$I$89,5,0)</f>
        <v>83.603519999999975</v>
      </c>
      <c r="P35" s="13">
        <f t="shared" si="33"/>
        <v>23.015991519299678</v>
      </c>
      <c r="Q35" s="20">
        <f t="shared" ref="Q35:Q66" si="53">(O35+P35)*0.475*44/12</f>
        <v>185.69564922944687</v>
      </c>
      <c r="R35" s="59">
        <f t="shared" si="0"/>
        <v>479.02898256278019</v>
      </c>
      <c r="S35" s="59">
        <f ca="1">AVERAGE(OFFSET($R$3,0,0,'Données projet'!$E$9+1,1))-AVERAGE(OFFSET($H$3,0,0,'Données projet'!$E$9+1,1))</f>
        <v>237.22177246688199</v>
      </c>
      <c r="T35" s="59">
        <f t="shared" si="34"/>
        <v>149.27472147904302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2.938396558341001</v>
      </c>
      <c r="AB35" s="21">
        <f>EXP(-LN(2)/2)*AB34+(1-EXP(-LN(2)/2))/(LN(2)/2)*V35*Y35*VLOOKUP('Données projet'!$B$9,Paramètres!$A$1:$I$89,3,0)*0.475*44/12</f>
        <v>3.0946739272142132</v>
      </c>
      <c r="AC35" s="22">
        <f t="shared" si="3"/>
        <v>6.0330704855552142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8.1999999999999993</v>
      </c>
      <c r="AI35" s="13">
        <f>IF('Données projet'!$A$62&gt;35,AI34+AH35-AQ34,IF(A35&lt;'Données projet'!$A$62,$AF$205^A35,IF(A35='Données projet'!$A$62,'Données projet'!$B$62,AI34+AH35-AQ34)))</f>
        <v>92.399999999999977</v>
      </c>
      <c r="AJ35" s="13">
        <f>AI35*VLOOKUP('Données projet'!$B$10,Paramètres!$A$1:$I$89,3,0)*VLOOKUP('Données projet'!$B$10,Paramètres!$A$1:$I$89,5,0)</f>
        <v>93.693599999999989</v>
      </c>
      <c r="AK35" s="13">
        <f t="shared" si="35"/>
        <v>25.453936461054091</v>
      </c>
      <c r="AL35" s="20">
        <f t="shared" si="4"/>
        <v>207.51529266966918</v>
      </c>
      <c r="AM35" s="59">
        <f t="shared" si="5"/>
        <v>500.84862600300249</v>
      </c>
      <c r="AN35" s="59">
        <f ca="1">AVERAGE(OFFSET($AM$3,0,0,'Données projet'!$E$10+1,1))-AVERAGE(OFFSET($H$3,0,0,'Données projet'!$E$10+1,1))</f>
        <v>279.20364724206644</v>
      </c>
      <c r="AO35" s="59">
        <f t="shared" si="36"/>
        <v>173.99850582760712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3.2930306257269835</v>
      </c>
      <c r="AW35" s="21">
        <f>EXP(-LN(2)/2)*AW34+(1-EXP(-LN(2)/2))/(LN(2)/2)*AQ35*AT35*VLOOKUP('Données projet'!$B$10,Paramètres!$A$1:$I$89,3,0)*0.475*44/12</f>
        <v>3.4681690563607561</v>
      </c>
      <c r="AX35" s="21">
        <f t="shared" si="6"/>
        <v>6.7611996820877396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10.000000000000004</v>
      </c>
      <c r="BD35" s="12">
        <f>IF('Données projet'!$A$88&gt;35,BD34+BC35-BL34,IF(A35&lt;'Données projet'!$A$88,$BA$205^A35,IF(A35='Données projet'!$A$88,'Données projet'!$B$88,BD34+BC35-BL34)))</f>
        <v>211.59999999999988</v>
      </c>
      <c r="BE35" s="13">
        <f>BD35*VLOOKUP('Données projet'!$B$11,Paramètres!$A$1:$I$89,3,0)*VLOOKUP('Données projet'!$B$11,Paramètres!$A$1:$I$89,5,0)</f>
        <v>99.028799999999947</v>
      </c>
      <c r="BF35" s="13">
        <f t="shared" si="37"/>
        <v>26.730491283721712</v>
      </c>
      <c r="BG35" s="20">
        <f t="shared" si="7"/>
        <v>219.0307656524819</v>
      </c>
      <c r="BH35" s="59">
        <f t="shared" si="8"/>
        <v>512.36409898581519</v>
      </c>
      <c r="BI35" s="59">
        <f ca="1">AVERAGE(OFFSET($BH$3,0,0,'Données projet'!$E$11+1,1))-AVERAGE(OFFSET($H$3,0,0,'Données projet'!$E$11+1,1))</f>
        <v>215.23235148064941</v>
      </c>
      <c r="BJ35" s="59">
        <f t="shared" si="38"/>
        <v>184.07239726900434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3.0128524701630561</v>
      </c>
      <c r="BQ35" s="21">
        <f>EXP(-LN(2)/25)*BQ34+(1-EXP(-LN(2)/25))/(LN(2)/25)*Calculateur!BL35*Calculateur!BN35*VLOOKUP('Données projet'!$B$11,Paramètres!$A$1:$I$89,3,0)*0.475*44/12</f>
        <v>7.4317221206756363</v>
      </c>
      <c r="BR35" s="21">
        <f>EXP(-LN(2)/2)*BR34+(1-EXP(-LN(2)/2))/(LN(2)/2)*BL35*BO35*VLOOKUP('Données projet'!$B$11,Paramètres!$A$1:$I$89,3,0)*0.475*44/12</f>
        <v>4.9160882401479942</v>
      </c>
      <c r="BS35" s="22">
        <f t="shared" si="9"/>
        <v>15.360662830986687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8.1999999999999993</v>
      </c>
      <c r="BY35" s="12">
        <f>IF('Données projet'!$A$114&gt;35,BY34+BX35-CG34,IF(A35&lt;'Données projet'!$A$114,$BV$205^A35,IF(A35='Données projet'!$A$114,'Données projet'!$B$114,BY34+BX35-CG34)))</f>
        <v>92.399999999999977</v>
      </c>
      <c r="BZ35" s="13">
        <f>BY35*VLOOKUP('Données projet'!$B$12,Paramètres!$A$1:$I$89,3,0)*VLOOKUP('Données projet'!$B$12,Paramètres!$A$1:$I$89,5,0)</f>
        <v>99.459359999999975</v>
      </c>
      <c r="CA35" s="13">
        <f t="shared" si="39"/>
        <v>26.833156914576186</v>
      </c>
      <c r="CB35" s="20">
        <f t="shared" si="10"/>
        <v>219.95946695955351</v>
      </c>
      <c r="CC35" s="59">
        <f t="shared" si="11"/>
        <v>513.2928002928868</v>
      </c>
      <c r="CD35" s="59">
        <f ca="1">AVERAGE(OFFSET($CC$3,0,0,'Données projet'!$E$12+1,1))-AVERAGE(OFFSET($H$3,0,0,'Données projet'!$E$12+1,1))</f>
        <v>303.1504619632214</v>
      </c>
      <c r="CE35" s="59">
        <f t="shared" si="40"/>
        <v>188.09929616366503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3.4956786642332589</v>
      </c>
      <c r="CM35" s="21">
        <f>EXP(-LN(2)/2)*CM34+(1-EXP(-LN(2)/2))/(LN(2)/2)*CG35*CJ35*VLOOKUP('Données projet'!$B$12,Paramètres!$A$1:$I$89,3,0)*0.475*44/12</f>
        <v>3.6815948444444953</v>
      </c>
      <c r="CN35" s="22">
        <f t="shared" si="12"/>
        <v>7.1772735086777537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10.199999999999999</v>
      </c>
      <c r="CT35" s="12">
        <f>IF('Données projet'!$A$140&gt;35,CT34+CS35-DB34,IF(A35&lt;'Données projet'!$A$140,$CQ$205^A35,IF(A35='Données projet'!$A$140,'Données projet'!$B$140,CT34+CS35-DB34)))</f>
        <v>138.39999999999995</v>
      </c>
      <c r="CU35" s="17">
        <f>CT35*VLOOKUP('Données projet'!$B$13,Paramètres!$A$1:$I$89,3,0)*VLOOKUP('Données projet'!$B$13,Paramètres!$A$1:$I$89,5,0)</f>
        <v>92.838719999999967</v>
      </c>
      <c r="CV35" s="13">
        <f t="shared" si="41"/>
        <v>25.248613631008698</v>
      </c>
      <c r="CW35" s="20">
        <f t="shared" si="13"/>
        <v>205.6687727406734</v>
      </c>
      <c r="CX35" s="59">
        <f t="shared" si="14"/>
        <v>499.00210607400675</v>
      </c>
      <c r="CY35" s="59">
        <f ca="1">AVERAGE(OFFSET($CX$3,0,0,'Données projet'!$E$13+1,1))-AVERAGE(OFFSET($H$3,0,0,'Données projet'!$E$13+1,1))</f>
        <v>156.63226020379989</v>
      </c>
      <c r="CZ35" s="59">
        <f t="shared" si="42"/>
        <v>196.0481096619543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8.2022824776356114</v>
      </c>
      <c r="DH35" s="21">
        <f>EXP(-LN(2)/2)*DH34+(1-EXP(-LN(2)/2))/(LN(2)/2)*DB35*DE35*VLOOKUP('Données projet'!$B$13,Paramètres!$A$1:$I$89,3,0)*0.475*44/12</f>
        <v>4.53673540106342</v>
      </c>
      <c r="DI35" s="22">
        <f t="shared" si="15"/>
        <v>12.73901787869903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5.2</v>
      </c>
      <c r="DO35" s="12">
        <f>IF('Données projet'!$A$166&gt;35,DO34+DN35-DW34,IF(A35&lt;'Données projet'!$A$166,$DL$205^A35,IF(A35='Données projet'!$A$166,'Données projet'!$B$166,DO34+DN35-DW34)))</f>
        <v>212.39999999999995</v>
      </c>
      <c r="DP35" s="17">
        <f>DO35*VLOOKUP('Données projet'!$B$14,Paramètres!$A$1:$I$89,3,0)*VLOOKUP('Données projet'!$B$14,Paramètres!$A$1:$I$89,5,0)</f>
        <v>192.17951999999994</v>
      </c>
      <c r="DQ35" s="13">
        <f t="shared" si="43"/>
        <v>48.021493442275315</v>
      </c>
      <c r="DR35" s="20">
        <f t="shared" si="16"/>
        <v>418.35009841196273</v>
      </c>
      <c r="DS35" s="59">
        <f t="shared" si="17"/>
        <v>711.68343174529605</v>
      </c>
      <c r="DT35" s="59">
        <f ca="1">AVERAGE(OFFSET($DS$3,0,0,'Données projet'!$E$14+1,1))-AVERAGE(OFFSET($H$3,0,0,'Données projet'!$E$14+1,1))</f>
        <v>225.28075317732998</v>
      </c>
      <c r="DU35" s="59">
        <f t="shared" si="44"/>
        <v>358.43407531256207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2.156398505571314</v>
      </c>
      <c r="EB35" s="21">
        <f>EXP(-LN(2)/25)*EB34+(1-EXP(-LN(2)/25))/(LN(2)/25)*Calculateur!DW35*Calculateur!DY35*VLOOKUP('Données projet'!$B$14,Paramètres!$A$1:$I$89,3,0)*0.475*44/12</f>
        <v>7.8258424763194645</v>
      </c>
      <c r="EC35" s="21">
        <f>EXP(-LN(2)/2)*EC34+(1-EXP(-LN(2)/2))/(LN(2)/2)*DW35*DZ35*VLOOKUP('Données projet'!$B$14,Paramètres!$A$1:$I$89,3,0)*0.475*44/12</f>
        <v>2.2070105574847605</v>
      </c>
      <c r="ED35" s="22">
        <f t="shared" si="18"/>
        <v>12.18925153937554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22</v>
      </c>
      <c r="EJ35" s="12">
        <f>IF('Données projet'!$A$192&gt;35,EJ34+EI35-ER34,IF(A35&lt;'Données projet'!$A$192,$EG$205^A35,IF(A35='Données projet'!$A$192,'Données projet'!$B$192,EJ34+EI35-ER34)))</f>
        <v>252.99999999999989</v>
      </c>
      <c r="EK35" s="17">
        <f>EJ35*VLOOKUP('Données projet'!$B$15,Paramètres!$A$1:$I$89,3,0)*VLOOKUP('Données projet'!$B$15,Paramètres!$A$1:$I$89,5,0)</f>
        <v>141.42699999999994</v>
      </c>
      <c r="EL35" s="13">
        <f t="shared" si="45"/>
        <v>36.62371795968599</v>
      </c>
      <c r="EM35" s="20">
        <f t="shared" si="19"/>
        <v>310.10500044645295</v>
      </c>
      <c r="EN35" s="59">
        <f t="shared" si="20"/>
        <v>603.43833377978626</v>
      </c>
      <c r="EO35" s="59">
        <f ca="1">AVERAGE(OFFSET($EN$3,0,0,'Données projet'!$E$15+1,1))-AVERAGE(OFFSET($H$3,0,0,'Données projet'!$E$15+1,1))</f>
        <v>326.31232746914907</v>
      </c>
      <c r="EP35" s="59">
        <f t="shared" si="46"/>
        <v>330.17137761430297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4.3905523772407644</v>
      </c>
      <c r="EW35" s="21">
        <f>EXP(-LN(2)/25)*EW34+(1-EXP(-LN(2)/25))/(LN(2)/25)*Calculateur!ER35*Calculateur!ET35*VLOOKUP('Données projet'!$B$15,Paramètres!$A$1:$I$89,3,0)*0.475*44/12</f>
        <v>28.545348433704035</v>
      </c>
      <c r="EX35" s="21">
        <f>EXP(-LN(2)/2)*EX34+(1-EXP(-LN(2)/2))/(LN(2)/2)*ER35*EU35*VLOOKUP('Données projet'!$B$15,Paramètres!$A$1:$I$89,3,0)*0.475*44/12</f>
        <v>16.261044185217617</v>
      </c>
      <c r="EY35" s="22">
        <f t="shared" si="21"/>
        <v>49.196944996162415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15.1</v>
      </c>
      <c r="FE35" s="12">
        <f>IF('Données projet'!$A$218&gt;35,FE34+FD35-FM34,IF(A35&lt;'Données projet'!$A$218,$FB$205^A35,IF(A35='Données projet'!$A$218,'Données projet'!$B$218,FE34+FD35-FM34)))</f>
        <v>209.20000000000002</v>
      </c>
      <c r="FF35" s="17">
        <f>FE35*VLOOKUP('Données projet'!$B$16,Paramètres!$A$1:$I$89,3,0)*VLOOKUP('Données projet'!$B$16,Paramètres!$A$1:$I$89,5,0)</f>
        <v>130.54080000000002</v>
      </c>
      <c r="FG35" s="13">
        <f t="shared" si="47"/>
        <v>34.121292125762963</v>
      </c>
      <c r="FH35" s="20">
        <f t="shared" si="22"/>
        <v>286.78647711903716</v>
      </c>
      <c r="FI35" s="59">
        <f t="shared" si="23"/>
        <v>580.11981045237053</v>
      </c>
      <c r="FJ35" s="59">
        <f ca="1">AVERAGE(OFFSET($FI$3,0,0,'Données projet'!$E$16+1,1))-AVERAGE(OFFSET($H$3,0,0,'Données projet'!$E$16+1,1))</f>
        <v>255.41017495879987</v>
      </c>
      <c r="FK35" s="59">
        <f t="shared" si="48"/>
        <v>297.50513563712764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8.0199519110698088</v>
      </c>
      <c r="FR35" s="21">
        <f>EXP(-LN(2)/25)*FR34+(1-EXP(-LN(2)/25))/(LN(2)/25)*Calculateur!FM35*Calculateur!FO35*VLOOKUP('Données projet'!$B$16,Paramètres!$A$1:$I$89,3,0)*0.475*44/12</f>
        <v>26.366501460143258</v>
      </c>
      <c r="FS35" s="21">
        <f>EXP(-LN(2)/2)*FS34+(1-EXP(-LN(2)/2))/(LN(2)/2)*FM35*FP35*VLOOKUP('Données projet'!$B$16,Paramètres!$A$1:$I$89,3,0)*0.475*44/12</f>
        <v>12.20059556845594</v>
      </c>
      <c r="FT35" s="22">
        <f t="shared" si="24"/>
        <v>46.587048939669003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12.4</v>
      </c>
      <c r="FZ35" s="12">
        <f>IF('Données projet'!$A$244&gt;35,FZ34+FY35-GH34,IF(A35&lt;'Données projet'!$A$244,$FW$205^A35,IF(A35='Données projet'!$A$244,'Données projet'!$B$244,FZ34+FY35-GH34)))</f>
        <v>197.8000000000001</v>
      </c>
      <c r="GA35" s="17">
        <f>FZ35*VLOOKUP('Données projet'!$B$17,Paramètres!$A$1:$I$89,3,0)*VLOOKUP('Données projet'!$B$17,Paramètres!$A$1:$I$89,5,0)</f>
        <v>118.28440000000006</v>
      </c>
      <c r="GB35" s="13">
        <f t="shared" si="49"/>
        <v>31.274529043461754</v>
      </c>
      <c r="GC35" s="20">
        <f t="shared" si="25"/>
        <v>260.4818014173627</v>
      </c>
      <c r="GD35" s="59">
        <f t="shared" si="26"/>
        <v>553.81513475069596</v>
      </c>
      <c r="GE35" s="59">
        <f ca="1">AVERAGE(OFFSET($GD$3,0,0,'Données projet'!$E$17+1,1))-AVERAGE(OFFSET($H$3,0,0,'Données projet'!$E$17+1,1))</f>
        <v>259.30247982593914</v>
      </c>
      <c r="GF35" s="59">
        <f t="shared" si="50"/>
        <v>275.24740346220779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17.060269872423884</v>
      </c>
      <c r="GN35" s="21">
        <f>EXP(-LN(2)/2)*GN34+(1-EXP(-LN(2)/2))/(LN(2)/2)*GH35*GK35*VLOOKUP('Données projet'!$B$17,Paramètres!$A$1:$I$89,3,0)*0.475*44/12</f>
        <v>14.340235090932509</v>
      </c>
      <c r="GO35" s="21">
        <f t="shared" si="27"/>
        <v>31.400504963356394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10.199999999999999</v>
      </c>
      <c r="GU35" s="12">
        <f>IF('Données projet'!$A$270&gt;35,GU34+GT35-HC34,IF(A35&lt;'Données projet'!$A$270,$GR$205^A35,IF(A35='Données projet'!$A$270,'Données projet'!$B$270,GU34+GT35-HC34)))</f>
        <v>138.39999999999995</v>
      </c>
      <c r="GV35" s="17">
        <f>GU35*VLOOKUP('Données projet'!$B$18,Paramètres!$A$1:$I$89,3,0)*VLOOKUP('Données projet'!$B$18,Paramètres!$A$1:$I$89,5,0)</f>
        <v>110.11103999999996</v>
      </c>
      <c r="GW35" s="13">
        <f t="shared" si="51"/>
        <v>29.357144926198423</v>
      </c>
      <c r="GX35" s="20">
        <f t="shared" si="28"/>
        <v>242.90708874646216</v>
      </c>
      <c r="GY35" s="59">
        <f t="shared" si="29"/>
        <v>536.24042207979551</v>
      </c>
      <c r="GZ35" s="59">
        <f ca="1">AVERAGE(OFFSET($GY$3,0,0,'Données projet'!$E$18+1,1))-AVERAGE(OFFSET($H$3,0,0,'Données projet'!$E$18+1,1))</f>
        <v>199.58763537752952</v>
      </c>
      <c r="HA35" s="59">
        <f t="shared" si="52"/>
        <v>242.62852778451929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9.7282885199864211</v>
      </c>
      <c r="HI35" s="21">
        <f>EXP(-LN(2)/2)*HI34+(1-EXP(-LN(2)/2))/(LN(2)/2)*HC35*HF35*VLOOKUP('Données projet'!$B$18,Paramètres!$A$1:$I$89,3,0)*0.475*44/12</f>
        <v>5.3807791966101028</v>
      </c>
      <c r="HJ35" s="22">
        <f t="shared" si="30"/>
        <v>15.109067716596524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8.1999999999999993</v>
      </c>
      <c r="N36" s="13">
        <f>IF('Données projet'!$A$36&gt;35,N35+M36-V35,IF(A36&lt;'Données projet'!$A$36,$K$205^A36,IF(A36='Données projet'!$A$36,'Données projet'!$B$36,N35+M36-V35)))</f>
        <v>100.59999999999998</v>
      </c>
      <c r="O36" s="13">
        <f>N36*VLOOKUP('Données projet'!$B$9,Paramètres!$A$1:$I$89,3,0)*VLOOKUP('Données projet'!$B$9,Paramètres!$A$1:$I$89,5,0)</f>
        <v>91.022879999999972</v>
      </c>
      <c r="P36" s="13">
        <f t="shared" si="33"/>
        <v>24.811756526220293</v>
      </c>
      <c r="Q36" s="20">
        <f t="shared" si="53"/>
        <v>201.74532528316695</v>
      </c>
      <c r="R36" s="59">
        <f t="shared" si="0"/>
        <v>495.07865861650026</v>
      </c>
      <c r="S36" s="59">
        <f ca="1">AVERAGE(OFFSET($R$3,0,0,'Données projet'!$E$9+1,1))-AVERAGE(OFFSET($H$3,0,0,'Données projet'!$E$9+1,1))</f>
        <v>237.22177246688199</v>
      </c>
      <c r="T36" s="59">
        <f t="shared" si="34"/>
        <v>149.27472147904302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2.8580459499296071</v>
      </c>
      <c r="AB36" s="21">
        <f>EXP(-LN(2)/2)*AB35+(1-EXP(-LN(2)/2))/(LN(2)/2)*V36*Y36*VLOOKUP('Données projet'!$B$9,Paramètres!$A$1:$I$89,3,0)*0.475*44/12</f>
        <v>2.1882649194943746</v>
      </c>
      <c r="AC36" s="22">
        <f t="shared" si="3"/>
        <v>5.0463108694239818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8.1999999999999993</v>
      </c>
      <c r="AI36" s="13">
        <f>IF('Données projet'!$A$62&gt;35,AI35+AH36-AQ35,IF(A36&lt;'Données projet'!$A$62,$AF$205^A36,IF(A36='Données projet'!$A$62,'Données projet'!$B$62,AI35+AH36-AQ35)))</f>
        <v>100.59999999999998</v>
      </c>
      <c r="AJ36" s="13">
        <f>AI36*VLOOKUP('Données projet'!$B$10,Paramètres!$A$1:$I$89,3,0)*VLOOKUP('Données projet'!$B$10,Paramètres!$A$1:$I$89,5,0)</f>
        <v>102.00839999999998</v>
      </c>
      <c r="AK36" s="13">
        <f t="shared" si="35"/>
        <v>27.43991600691951</v>
      </c>
      <c r="AL36" s="20">
        <f t="shared" si="4"/>
        <v>225.45581704538475</v>
      </c>
      <c r="AM36" s="59">
        <f t="shared" si="5"/>
        <v>518.78915037871809</v>
      </c>
      <c r="AN36" s="59">
        <f ca="1">AVERAGE(OFFSET($AM$3,0,0,'Données projet'!$E$10+1,1))-AVERAGE(OFFSET($H$3,0,0,'Données projet'!$E$10+1,1))</f>
        <v>279.20364724206644</v>
      </c>
      <c r="AO36" s="59">
        <f t="shared" si="36"/>
        <v>173.99850582760712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3.2029825300935246</v>
      </c>
      <c r="AW36" s="21">
        <f>EXP(-LN(2)/2)*AW35+(1-EXP(-LN(2)/2))/(LN(2)/2)*AQ36*AT36*VLOOKUP('Données projet'!$B$10,Paramètres!$A$1:$I$89,3,0)*0.475*44/12</f>
        <v>2.4523658580540402</v>
      </c>
      <c r="AX36" s="21">
        <f t="shared" si="6"/>
        <v>5.6553483881475648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10.000000000000004</v>
      </c>
      <c r="BD36" s="12">
        <f>IF('Données projet'!$A$88&gt;35,BD35+BC36-BL35,IF(A36&lt;'Données projet'!$A$88,$BA$205^A36,IF(A36='Données projet'!$A$88,'Données projet'!$B$88,BD35+BC36-BL35)))</f>
        <v>221.59999999999988</v>
      </c>
      <c r="BE36" s="13">
        <f>BD36*VLOOKUP('Données projet'!$B$11,Paramètres!$A$1:$I$89,3,0)*VLOOKUP('Données projet'!$B$11,Paramètres!$A$1:$I$89,5,0)</f>
        <v>103.70879999999994</v>
      </c>
      <c r="BF36" s="13">
        <f t="shared" si="37"/>
        <v>27.84368661708951</v>
      </c>
      <c r="BG36" s="20">
        <f t="shared" si="7"/>
        <v>229.12058085809744</v>
      </c>
      <c r="BH36" s="59">
        <f t="shared" si="8"/>
        <v>522.45391419143073</v>
      </c>
      <c r="BI36" s="59">
        <f ca="1">AVERAGE(OFFSET($BH$3,0,0,'Données projet'!$E$11+1,1))-AVERAGE(OFFSET($H$3,0,0,'Données projet'!$E$11+1,1))</f>
        <v>215.23235148064941</v>
      </c>
      <c r="BJ36" s="59">
        <f t="shared" si="38"/>
        <v>184.07239726900434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2.9537722708817116</v>
      </c>
      <c r="BQ36" s="21">
        <f>EXP(-LN(2)/25)*BQ35+(1-EXP(-LN(2)/25))/(LN(2)/25)*Calculateur!BL36*Calculateur!BN36*VLOOKUP('Données projet'!$B$11,Paramètres!$A$1:$I$89,3,0)*0.475*44/12</f>
        <v>7.2285012884684798</v>
      </c>
      <c r="BR36" s="21">
        <f>EXP(-LN(2)/2)*BR35+(1-EXP(-LN(2)/2))/(LN(2)/2)*BL36*BO36*VLOOKUP('Données projet'!$B$11,Paramètres!$A$1:$I$89,3,0)*0.475*44/12</f>
        <v>3.4761993315200876</v>
      </c>
      <c r="BS36" s="22">
        <f t="shared" si="9"/>
        <v>13.658472890870279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8.1999999999999993</v>
      </c>
      <c r="BY36" s="12">
        <f>IF('Données projet'!$A$114&gt;35,BY35+BX36-CG35,IF(A36&lt;'Données projet'!$A$114,$BV$205^A36,IF(A36='Données projet'!$A$114,'Données projet'!$B$114,BY35+BX36-CG35)))</f>
        <v>100.59999999999998</v>
      </c>
      <c r="BZ36" s="13">
        <f>BY36*VLOOKUP('Données projet'!$B$12,Paramètres!$A$1:$I$89,3,0)*VLOOKUP('Données projet'!$B$12,Paramètres!$A$1:$I$89,5,0)</f>
        <v>108.28583999999998</v>
      </c>
      <c r="CA36" s="13">
        <f t="shared" si="39"/>
        <v>28.926746676807358</v>
      </c>
      <c r="CB36" s="20">
        <f t="shared" si="10"/>
        <v>238.97858846210613</v>
      </c>
      <c r="CC36" s="59">
        <f t="shared" si="11"/>
        <v>532.3119217954395</v>
      </c>
      <c r="CD36" s="59">
        <f ca="1">AVERAGE(OFFSET($CC$3,0,0,'Données projet'!$E$12+1,1))-AVERAGE(OFFSET($H$3,0,0,'Données projet'!$E$12+1,1))</f>
        <v>303.1504619632214</v>
      </c>
      <c r="CE36" s="59">
        <f t="shared" si="40"/>
        <v>188.09929616366503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3.400089147330049</v>
      </c>
      <c r="CM36" s="21">
        <f>EXP(-LN(2)/2)*CM35+(1-EXP(-LN(2)/2))/(LN(2)/2)*CG36*CJ36*VLOOKUP('Données projet'!$B$12,Paramètres!$A$1:$I$89,3,0)*0.475*44/12</f>
        <v>2.6032806800881354</v>
      </c>
      <c r="CN36" s="22">
        <f t="shared" si="12"/>
        <v>6.0033698274181848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10.199999999999999</v>
      </c>
      <c r="CT36" s="12">
        <f>IF('Données projet'!$A$140&gt;35,CT35+CS36-DB35,IF(A36&lt;'Données projet'!$A$140,$CQ$205^A36,IF(A36='Données projet'!$A$140,'Données projet'!$B$140,CT35+CS36-DB35)))</f>
        <v>148.59999999999994</v>
      </c>
      <c r="CU36" s="17">
        <f>CT36*VLOOKUP('Données projet'!$B$13,Paramètres!$A$1:$I$89,3,0)*VLOOKUP('Données projet'!$B$13,Paramètres!$A$1:$I$89,5,0)</f>
        <v>99.680879999999959</v>
      </c>
      <c r="CV36" s="13">
        <f t="shared" si="41"/>
        <v>26.885957471977871</v>
      </c>
      <c r="CW36" s="20">
        <f t="shared" si="13"/>
        <v>220.43724193036135</v>
      </c>
      <c r="CX36" s="59">
        <f t="shared" si="14"/>
        <v>513.7705752636947</v>
      </c>
      <c r="CY36" s="59">
        <f ca="1">AVERAGE(OFFSET($CX$3,0,0,'Données projet'!$E$13+1,1))-AVERAGE(OFFSET($H$3,0,0,'Données projet'!$E$13+1,1))</f>
        <v>156.63226020379989</v>
      </c>
      <c r="CZ36" s="59">
        <f t="shared" si="42"/>
        <v>196.0481096619543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7.9779906319453771</v>
      </c>
      <c r="DH36" s="21">
        <f>EXP(-LN(2)/2)*DH35+(1-EXP(-LN(2)/2))/(LN(2)/2)*DB36*DE36*VLOOKUP('Données projet'!$B$13,Paramètres!$A$1:$I$89,3,0)*0.475*44/12</f>
        <v>3.207956366541016</v>
      </c>
      <c r="DI36" s="22">
        <f t="shared" si="15"/>
        <v>11.185946998486394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5.2</v>
      </c>
      <c r="DO36" s="12">
        <f>IF('Données projet'!$A$166&gt;35,DO35+DN36-DW35,IF(A36&lt;'Données projet'!$A$166,$DL$205^A36,IF(A36='Données projet'!$A$166,'Données projet'!$B$166,DO35+DN36-DW35)))</f>
        <v>217.59999999999994</v>
      </c>
      <c r="DP36" s="17">
        <f>DO36*VLOOKUP('Données projet'!$B$14,Paramètres!$A$1:$I$89,3,0)*VLOOKUP('Données projet'!$B$14,Paramètres!$A$1:$I$89,5,0)</f>
        <v>196.88447999999994</v>
      </c>
      <c r="DQ36" s="13">
        <f t="shared" si="43"/>
        <v>49.058846340873643</v>
      </c>
      <c r="DR36" s="20">
        <f t="shared" si="16"/>
        <v>428.35129337702142</v>
      </c>
      <c r="DS36" s="59">
        <f t="shared" si="17"/>
        <v>721.68462671035468</v>
      </c>
      <c r="DT36" s="59">
        <f ca="1">AVERAGE(OFFSET($DS$3,0,0,'Données projet'!$E$14+1,1))-AVERAGE(OFFSET($H$3,0,0,'Données projet'!$E$14+1,1))</f>
        <v>225.28075317732998</v>
      </c>
      <c r="DU36" s="59">
        <f t="shared" si="44"/>
        <v>358.43407531256207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2.1141128461502765</v>
      </c>
      <c r="EB36" s="21">
        <f>EXP(-LN(2)/25)*EB35+(1-EXP(-LN(2)/25))/(LN(2)/25)*Calculateur!DW36*Calculateur!DY36*VLOOKUP('Données projet'!$B$14,Paramètres!$A$1:$I$89,3,0)*0.475*44/12</f>
        <v>7.6118444022613394</v>
      </c>
      <c r="EC36" s="21">
        <f>EXP(-LN(2)/2)*EC35+(1-EXP(-LN(2)/2))/(LN(2)/2)*DW36*DZ36*VLOOKUP('Données projet'!$B$14,Paramètres!$A$1:$I$89,3,0)*0.475*44/12</f>
        <v>1.5605921313477769</v>
      </c>
      <c r="ED36" s="22">
        <f t="shared" si="18"/>
        <v>11.286549379759393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22</v>
      </c>
      <c r="EJ36" s="12">
        <f>IF('Données projet'!$A$192&gt;35,EJ35+EI36-ER35,IF(A36&lt;'Données projet'!$A$192,$EG$205^A36,IF(A36='Données projet'!$A$192,'Données projet'!$B$192,EJ35+EI36-ER35)))</f>
        <v>274.99999999999989</v>
      </c>
      <c r="EK36" s="17">
        <f>EJ36*VLOOKUP('Données projet'!$B$15,Paramètres!$A$1:$I$89,3,0)*VLOOKUP('Données projet'!$B$15,Paramètres!$A$1:$I$89,5,0)</f>
        <v>153.72499999999994</v>
      </c>
      <c r="EL36" s="13">
        <f t="shared" si="45"/>
        <v>39.423892922919691</v>
      </c>
      <c r="EM36" s="20">
        <f t="shared" si="19"/>
        <v>336.40098850741833</v>
      </c>
      <c r="EN36" s="59">
        <f t="shared" si="20"/>
        <v>629.73432184075159</v>
      </c>
      <c r="EO36" s="59">
        <f ca="1">AVERAGE(OFFSET($EN$3,0,0,'Données projet'!$E$15+1,1))-AVERAGE(OFFSET($H$3,0,0,'Données projet'!$E$15+1,1))</f>
        <v>326.31232746914907</v>
      </c>
      <c r="EP36" s="59">
        <f t="shared" si="46"/>
        <v>330.17137761430297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4.3044563230955957</v>
      </c>
      <c r="EW36" s="21">
        <f>EXP(-LN(2)/25)*EW35+(1-EXP(-LN(2)/25))/(LN(2)/25)*Calculateur!ER36*Calculateur!ET36*VLOOKUP('Données projet'!$B$15,Paramètres!$A$1:$I$89,3,0)*0.475*44/12</f>
        <v>27.764774379649765</v>
      </c>
      <c r="EX36" s="21">
        <f>EXP(-LN(2)/2)*EX35+(1-EXP(-LN(2)/2))/(LN(2)/2)*ER36*EU36*VLOOKUP('Données projet'!$B$15,Paramètres!$A$1:$I$89,3,0)*0.475*44/12</f>
        <v>11.498294612541455</v>
      </c>
      <c r="EY36" s="22">
        <f t="shared" si="21"/>
        <v>43.567525315286815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15.1</v>
      </c>
      <c r="FE36" s="12">
        <f>IF('Données projet'!$A$218&gt;35,FE35+FD36-FM35,IF(A36&lt;'Données projet'!$A$218,$FB$205^A36,IF(A36='Données projet'!$A$218,'Données projet'!$B$218,FE35+FD36-FM35)))</f>
        <v>224.3</v>
      </c>
      <c r="FF36" s="17">
        <f>FE36*VLOOKUP('Données projet'!$B$16,Paramètres!$A$1:$I$89,3,0)*VLOOKUP('Données projet'!$B$16,Paramètres!$A$1:$I$89,5,0)</f>
        <v>139.9632</v>
      </c>
      <c r="FG36" s="13">
        <f t="shared" si="47"/>
        <v>36.288575002787859</v>
      </c>
      <c r="FH36" s="20">
        <f t="shared" si="22"/>
        <v>306.97184146318881</v>
      </c>
      <c r="FI36" s="59">
        <f t="shared" si="23"/>
        <v>600.30517479652212</v>
      </c>
      <c r="FJ36" s="59">
        <f ca="1">AVERAGE(OFFSET($FI$3,0,0,'Données projet'!$E$16+1,1))-AVERAGE(OFFSET($H$3,0,0,'Données projet'!$E$16+1,1))</f>
        <v>255.41017495879987</v>
      </c>
      <c r="FK36" s="59">
        <f t="shared" si="48"/>
        <v>297.50513563712764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7.8626855457813818</v>
      </c>
      <c r="FR36" s="21">
        <f>EXP(-LN(2)/25)*FR35+(1-EXP(-LN(2)/25))/(LN(2)/25)*Calculateur!FM36*Calculateur!FO36*VLOOKUP('Données projet'!$B$16,Paramètres!$A$1:$I$89,3,0)*0.475*44/12</f>
        <v>25.645508091161592</v>
      </c>
      <c r="FS36" s="21">
        <f>EXP(-LN(2)/2)*FS35+(1-EXP(-LN(2)/2))/(LN(2)/2)*FM36*FP36*VLOOKUP('Données projet'!$B$16,Paramètres!$A$1:$I$89,3,0)*0.475*44/12</f>
        <v>8.6271238609697356</v>
      </c>
      <c r="FT36" s="22">
        <f t="shared" si="24"/>
        <v>42.135317497912709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12.4</v>
      </c>
      <c r="FZ36" s="12">
        <f>IF('Données projet'!$A$244&gt;35,FZ35+FY36-GH35,IF(A36&lt;'Données projet'!$A$244,$FW$205^A36,IF(A36='Données projet'!$A$244,'Données projet'!$B$244,FZ35+FY36-GH35)))</f>
        <v>210.2000000000001</v>
      </c>
      <c r="GA36" s="17">
        <f>FZ36*VLOOKUP('Données projet'!$B$17,Paramètres!$A$1:$I$89,3,0)*VLOOKUP('Données projet'!$B$17,Paramètres!$A$1:$I$89,5,0)</f>
        <v>125.69960000000007</v>
      </c>
      <c r="GB36" s="13">
        <f t="shared" si="49"/>
        <v>33.000726063948221</v>
      </c>
      <c r="GC36" s="20">
        <f t="shared" si="25"/>
        <v>276.40306789470998</v>
      </c>
      <c r="GD36" s="59">
        <f t="shared" si="26"/>
        <v>569.73640122804329</v>
      </c>
      <c r="GE36" s="59">
        <f ca="1">AVERAGE(OFFSET($GD$3,0,0,'Données projet'!$E$17+1,1))-AVERAGE(OFFSET($H$3,0,0,'Données projet'!$E$17+1,1))</f>
        <v>259.30247982593914</v>
      </c>
      <c r="GF36" s="59">
        <f t="shared" si="50"/>
        <v>275.24740346220779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16.593755895601852</v>
      </c>
      <c r="GN36" s="21">
        <f>EXP(-LN(2)/2)*GN35+(1-EXP(-LN(2)/2))/(LN(2)/2)*GH36*GK36*VLOOKUP('Données projet'!$B$17,Paramètres!$A$1:$I$89,3,0)*0.475*44/12</f>
        <v>10.140077476607665</v>
      </c>
      <c r="GO36" s="21">
        <f t="shared" si="27"/>
        <v>26.733833372209517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10.199999999999999</v>
      </c>
      <c r="GU36" s="12">
        <f>IF('Données projet'!$A$270&gt;35,GU35+GT36-HC35,IF(A36&lt;'Données projet'!$A$270,$GR$205^A36,IF(A36='Données projet'!$A$270,'Données projet'!$B$270,GU35+GT36-HC35)))</f>
        <v>148.59999999999994</v>
      </c>
      <c r="GV36" s="17">
        <f>GU36*VLOOKUP('Données projet'!$B$18,Paramètres!$A$1:$I$89,3,0)*VLOOKUP('Données projet'!$B$18,Paramètres!$A$1:$I$89,5,0)</f>
        <v>118.22615999999996</v>
      </c>
      <c r="GW36" s="13">
        <f t="shared" si="51"/>
        <v>31.260922342884676</v>
      </c>
      <c r="GX36" s="20">
        <f t="shared" si="28"/>
        <v>260.35666841385739</v>
      </c>
      <c r="GY36" s="59">
        <f t="shared" si="29"/>
        <v>553.69000174719076</v>
      </c>
      <c r="GZ36" s="59">
        <f ca="1">AVERAGE(OFFSET($GY$3,0,0,'Données projet'!$E$18+1,1))-AVERAGE(OFFSET($H$3,0,0,'Données projet'!$E$18+1,1))</f>
        <v>199.58763537752952</v>
      </c>
      <c r="HA36" s="59">
        <f t="shared" si="52"/>
        <v>242.62852778451929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9.4622679588189342</v>
      </c>
      <c r="HI36" s="21">
        <f>EXP(-LN(2)/2)*HI35+(1-EXP(-LN(2)/2))/(LN(2)/2)*HC36*HF36*VLOOKUP('Données projet'!$B$18,Paramètres!$A$1:$I$89,3,0)*0.475*44/12</f>
        <v>3.8047854579905072</v>
      </c>
      <c r="HJ36" s="22">
        <f t="shared" si="30"/>
        <v>13.267053416809441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8.1999999999999993</v>
      </c>
      <c r="N37" s="13">
        <f>IF('Données projet'!$A$36&gt;35,N36+M37-V36,IF(A37&lt;'Données projet'!$A$36,$K$205^A37,IF(A37='Données projet'!$A$36,'Données projet'!$B$36,N36+M37-V36)))</f>
        <v>108.79999999999998</v>
      </c>
      <c r="O37" s="13">
        <f>N37*VLOOKUP('Données projet'!$B$9,Paramètres!$A$1:$I$89,3,0)*VLOOKUP('Données projet'!$B$9,Paramètres!$A$1:$I$89,5,0)</f>
        <v>98.442239999999984</v>
      </c>
      <c r="P37" s="13">
        <f t="shared" si="33"/>
        <v>26.590544283900247</v>
      </c>
      <c r="Q37" s="20">
        <f t="shared" si="53"/>
        <v>217.76543262779288</v>
      </c>
      <c r="R37" s="59">
        <f t="shared" si="0"/>
        <v>511.09876596112622</v>
      </c>
      <c r="S37" s="59">
        <f ca="1">AVERAGE(OFFSET($R$3,0,0,'Données projet'!$E$9+1,1))-AVERAGE(OFFSET($H$3,0,0,'Données projet'!$E$9+1,1))</f>
        <v>237.22177246688199</v>
      </c>
      <c r="T37" s="59">
        <f t="shared" si="34"/>
        <v>149.27472147904302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2.7798925331306776</v>
      </c>
      <c r="AB37" s="21">
        <f>EXP(-LN(2)/2)*AB36+(1-EXP(-LN(2)/2))/(LN(2)/2)*V37*Y37*VLOOKUP('Données projet'!$B$9,Paramètres!$A$1:$I$89,3,0)*0.475*44/12</f>
        <v>1.5473369636071068</v>
      </c>
      <c r="AC37" s="22">
        <f t="shared" si="3"/>
        <v>4.3272294967377842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8.1999999999999993</v>
      </c>
      <c r="AI37" s="13">
        <f>IF('Données projet'!$A$62&gt;35,AI36+AH37-AQ36,IF(A37&lt;'Données projet'!$A$62,$AF$205^A37,IF(A37='Données projet'!$A$62,'Données projet'!$B$62,AI36+AH37-AQ36)))</f>
        <v>108.79999999999998</v>
      </c>
      <c r="AJ37" s="13">
        <f>AI37*VLOOKUP('Données projet'!$B$10,Paramètres!$A$1:$I$89,3,0)*VLOOKUP('Données projet'!$B$10,Paramètres!$A$1:$I$89,5,0)</f>
        <v>110.32319999999999</v>
      </c>
      <c r="AK37" s="13">
        <f t="shared" si="35"/>
        <v>29.407120006092025</v>
      </c>
      <c r="AL37" s="20">
        <f t="shared" si="4"/>
        <v>243.36364067727686</v>
      </c>
      <c r="AM37" s="59">
        <f t="shared" si="5"/>
        <v>536.69697401061012</v>
      </c>
      <c r="AN37" s="59">
        <f ca="1">AVERAGE(OFFSET($AM$3,0,0,'Données projet'!$E$10+1,1))-AVERAGE(OFFSET($H$3,0,0,'Données projet'!$E$10+1,1))</f>
        <v>279.20364724206644</v>
      </c>
      <c r="AO37" s="59">
        <f t="shared" si="36"/>
        <v>173.99850582760712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3.1153968043705866</v>
      </c>
      <c r="AW37" s="21">
        <f>EXP(-LN(2)/2)*AW36+(1-EXP(-LN(2)/2))/(LN(2)/2)*AQ37*AT37*VLOOKUP('Données projet'!$B$10,Paramètres!$A$1:$I$89,3,0)*0.475*44/12</f>
        <v>1.7340845281803781</v>
      </c>
      <c r="AX37" s="21">
        <f t="shared" si="6"/>
        <v>4.8494813325509645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10.000000000000004</v>
      </c>
      <c r="BD37" s="12">
        <f>IF('Données projet'!$A$88&gt;35,BD36+BC37-BL36,IF(A37&lt;'Données projet'!$A$88,$BA$205^A37,IF(A37='Données projet'!$A$88,'Données projet'!$B$88,BD36+BC37-BL36)))</f>
        <v>231.59999999999988</v>
      </c>
      <c r="BE37" s="13">
        <f>BD37*VLOOKUP('Données projet'!$B$11,Paramètres!$A$1:$I$89,3,0)*VLOOKUP('Données projet'!$B$11,Paramètres!$A$1:$I$89,5,0)</f>
        <v>108.38879999999993</v>
      </c>
      <c r="BF37" s="13">
        <f t="shared" si="37"/>
        <v>28.951047900249165</v>
      </c>
      <c r="BG37" s="20">
        <f t="shared" si="7"/>
        <v>239.20023509293381</v>
      </c>
      <c r="BH37" s="59">
        <f t="shared" si="8"/>
        <v>532.53356842626715</v>
      </c>
      <c r="BI37" s="59">
        <f ca="1">AVERAGE(OFFSET($BH$3,0,0,'Données projet'!$E$11+1,1))-AVERAGE(OFFSET($H$3,0,0,'Données projet'!$E$11+1,1))</f>
        <v>215.23235148064941</v>
      </c>
      <c r="BJ37" s="59">
        <f t="shared" si="38"/>
        <v>184.07239726900434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2.895850598272911</v>
      </c>
      <c r="BQ37" s="21">
        <f>EXP(-LN(2)/25)*BQ36+(1-EXP(-LN(2)/25))/(LN(2)/25)*Calculateur!BL37*Calculateur!BN37*VLOOKUP('Données projet'!$B$11,Paramètres!$A$1:$I$89,3,0)*0.475*44/12</f>
        <v>7.0308375406049475</v>
      </c>
      <c r="BR37" s="21">
        <f>EXP(-LN(2)/2)*BR36+(1-EXP(-LN(2)/2))/(LN(2)/2)*BL37*BO37*VLOOKUP('Données projet'!$B$11,Paramètres!$A$1:$I$89,3,0)*0.475*44/12</f>
        <v>2.4580441200739975</v>
      </c>
      <c r="BS37" s="22">
        <f t="shared" si="9"/>
        <v>12.384732258951857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8.1999999999999993</v>
      </c>
      <c r="BY37" s="12">
        <f>IF('Données projet'!$A$114&gt;35,BY36+BX37-CG36,IF(A37&lt;'Données projet'!$A$114,$BV$205^A37,IF(A37='Données projet'!$A$114,'Données projet'!$B$114,BY36+BX37-CG36)))</f>
        <v>108.79999999999998</v>
      </c>
      <c r="BZ37" s="13">
        <f>BY37*VLOOKUP('Données projet'!$B$12,Paramètres!$A$1:$I$89,3,0)*VLOOKUP('Données projet'!$B$12,Paramètres!$A$1:$I$89,5,0)</f>
        <v>117.11231999999998</v>
      </c>
      <c r="CA37" s="13">
        <f t="shared" si="39"/>
        <v>31.000543540154752</v>
      </c>
      <c r="CB37" s="20">
        <f t="shared" si="10"/>
        <v>257.96323733243617</v>
      </c>
      <c r="CC37" s="59">
        <f t="shared" si="11"/>
        <v>551.29657066576942</v>
      </c>
      <c r="CD37" s="59">
        <f ca="1">AVERAGE(OFFSET($CC$3,0,0,'Données projet'!$E$12+1,1))-AVERAGE(OFFSET($H$3,0,0,'Données projet'!$E$12+1,1))</f>
        <v>303.1504619632214</v>
      </c>
      <c r="CE37" s="59">
        <f t="shared" si="40"/>
        <v>188.09929616366503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3.3071135307933917</v>
      </c>
      <c r="CM37" s="21">
        <f>EXP(-LN(2)/2)*CM36+(1-EXP(-LN(2)/2))/(LN(2)/2)*CG37*CJ37*VLOOKUP('Données projet'!$B$12,Paramètres!$A$1:$I$89,3,0)*0.475*44/12</f>
        <v>1.8407974222222478</v>
      </c>
      <c r="CN37" s="22">
        <f t="shared" si="12"/>
        <v>5.1479109530156393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10.199999999999999</v>
      </c>
      <c r="CT37" s="12">
        <f>IF('Données projet'!$A$140&gt;35,CT36+CS37-DB36,IF(A37&lt;'Données projet'!$A$140,$CQ$205^A37,IF(A37='Données projet'!$A$140,'Données projet'!$B$140,CT36+CS37-DB36)))</f>
        <v>158.79999999999993</v>
      </c>
      <c r="CU37" s="17">
        <f>CT37*VLOOKUP('Données projet'!$B$13,Paramètres!$A$1:$I$89,3,0)*VLOOKUP('Données projet'!$B$13,Paramètres!$A$1:$I$89,5,0)</f>
        <v>106.52303999999995</v>
      </c>
      <c r="CV37" s="13">
        <f t="shared" si="41"/>
        <v>28.510260627094947</v>
      </c>
      <c r="CW37" s="20">
        <f t="shared" si="13"/>
        <v>235.18299859219027</v>
      </c>
      <c r="CX37" s="59">
        <f t="shared" si="14"/>
        <v>528.51633192552356</v>
      </c>
      <c r="CY37" s="59">
        <f ca="1">AVERAGE(OFFSET($CX$3,0,0,'Données projet'!$E$13+1,1))-AVERAGE(OFFSET($H$3,0,0,'Données projet'!$E$13+1,1))</f>
        <v>156.63226020379989</v>
      </c>
      <c r="CZ37" s="59">
        <f t="shared" si="42"/>
        <v>196.0481096619543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7.7598320585705371</v>
      </c>
      <c r="DH37" s="21">
        <f>EXP(-LN(2)/2)*DH36+(1-EXP(-LN(2)/2))/(LN(2)/2)*DB37*DE37*VLOOKUP('Données projet'!$B$13,Paramètres!$A$1:$I$89,3,0)*0.475*44/12</f>
        <v>2.2683677005317104</v>
      </c>
      <c r="DI37" s="22">
        <f t="shared" si="15"/>
        <v>10.028199759102247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5.2</v>
      </c>
      <c r="DO37" s="12">
        <f>IF('Données projet'!$A$166&gt;35,DO36+DN37-DW36,IF(A37&lt;'Données projet'!$A$166,$DL$205^A37,IF(A37='Données projet'!$A$166,'Données projet'!$B$166,DO36+DN37-DW36)))</f>
        <v>222.79999999999993</v>
      </c>
      <c r="DP37" s="17">
        <f>DO37*VLOOKUP('Données projet'!$B$14,Paramètres!$A$1:$I$89,3,0)*VLOOKUP('Données projet'!$B$14,Paramètres!$A$1:$I$89,5,0)</f>
        <v>201.58943999999994</v>
      </c>
      <c r="DQ37" s="13">
        <f t="shared" si="43"/>
        <v>50.093317439945402</v>
      </c>
      <c r="DR37" s="20">
        <f t="shared" si="16"/>
        <v>438.34746920790479</v>
      </c>
      <c r="DS37" s="59">
        <f t="shared" si="17"/>
        <v>731.68080254123811</v>
      </c>
      <c r="DT37" s="59">
        <f ca="1">AVERAGE(OFFSET($DS$3,0,0,'Données projet'!$E$14+1,1))-AVERAGE(OFFSET($H$3,0,0,'Données projet'!$E$14+1,1))</f>
        <v>225.28075317732998</v>
      </c>
      <c r="DU37" s="59">
        <f t="shared" si="44"/>
        <v>358.43407531256207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2.0726563827187801</v>
      </c>
      <c r="EB37" s="21">
        <f>EXP(-LN(2)/25)*EB36+(1-EXP(-LN(2)/25))/(LN(2)/25)*Calculateur!DW37*Calculateur!DY37*VLOOKUP('Données projet'!$B$14,Paramètres!$A$1:$I$89,3,0)*0.475*44/12</f>
        <v>7.4036981167920031</v>
      </c>
      <c r="EC37" s="21">
        <f>EXP(-LN(2)/2)*EC36+(1-EXP(-LN(2)/2))/(LN(2)/2)*DW37*DZ37*VLOOKUP('Données projet'!$B$14,Paramètres!$A$1:$I$89,3,0)*0.475*44/12</f>
        <v>1.1035052787423805</v>
      </c>
      <c r="ED37" s="22">
        <f t="shared" si="18"/>
        <v>10.579859778253164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22</v>
      </c>
      <c r="EJ37" s="12">
        <f>IF('Données projet'!$A$192&gt;35,EJ36+EI37-ER36,IF(A37&lt;'Données projet'!$A$192,$EG$205^A37,IF(A37='Données projet'!$A$192,'Données projet'!$B$192,EJ36+EI37-ER36)))</f>
        <v>296.99999999999989</v>
      </c>
      <c r="EK37" s="17">
        <f>EJ37*VLOOKUP('Données projet'!$B$15,Paramètres!$A$1:$I$89,3,0)*VLOOKUP('Données projet'!$B$15,Paramètres!$A$1:$I$89,5,0)</f>
        <v>166.02299999999994</v>
      </c>
      <c r="EL37" s="13">
        <f t="shared" si="45"/>
        <v>42.198084449395701</v>
      </c>
      <c r="EM37" s="20">
        <f t="shared" si="19"/>
        <v>362.6517220826974</v>
      </c>
      <c r="EN37" s="59">
        <f t="shared" si="20"/>
        <v>655.98505541603072</v>
      </c>
      <c r="EO37" s="59">
        <f ca="1">AVERAGE(OFFSET($EN$3,0,0,'Données projet'!$E$15+1,1))-AVERAGE(OFFSET($H$3,0,0,'Données projet'!$E$15+1,1))</f>
        <v>326.31232746914907</v>
      </c>
      <c r="EP37" s="59">
        <f t="shared" si="46"/>
        <v>330.17137761430297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4.2200485600588058</v>
      </c>
      <c r="EW37" s="21">
        <f>EXP(-LN(2)/25)*EW36+(1-EXP(-LN(2)/25))/(LN(2)/25)*Calculateur!ER37*Calculateur!ET37*VLOOKUP('Données projet'!$B$15,Paramètres!$A$1:$I$89,3,0)*0.475*44/12</f>
        <v>27.005545164152213</v>
      </c>
      <c r="EX37" s="21">
        <f>EXP(-LN(2)/2)*EX36+(1-EXP(-LN(2)/2))/(LN(2)/2)*ER37*EU37*VLOOKUP('Données projet'!$B$15,Paramètres!$A$1:$I$89,3,0)*0.475*44/12</f>
        <v>8.1305220926088104</v>
      </c>
      <c r="EY37" s="22">
        <f t="shared" si="21"/>
        <v>39.35611581681983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15.1</v>
      </c>
      <c r="FE37" s="12">
        <f>IF('Données projet'!$A$218&gt;35,FE36+FD37-FM36,IF(A37&lt;'Données projet'!$A$218,$FB$205^A37,IF(A37='Données projet'!$A$218,'Données projet'!$B$218,FE36+FD37-FM36)))</f>
        <v>239.4</v>
      </c>
      <c r="FF37" s="17">
        <f>FE37*VLOOKUP('Données projet'!$B$16,Paramètres!$A$1:$I$89,3,0)*VLOOKUP('Données projet'!$B$16,Paramètres!$A$1:$I$89,5,0)</f>
        <v>149.38559999999998</v>
      </c>
      <c r="FG37" s="13">
        <f t="shared" si="47"/>
        <v>38.438927680599591</v>
      </c>
      <c r="FH37" s="20">
        <f t="shared" si="22"/>
        <v>327.1277190437109</v>
      </c>
      <c r="FI37" s="59">
        <f t="shared" si="23"/>
        <v>620.46105237704421</v>
      </c>
      <c r="FJ37" s="59">
        <f ca="1">AVERAGE(OFFSET($FI$3,0,0,'Données projet'!$E$16+1,1))-AVERAGE(OFFSET($H$3,0,0,'Données projet'!$E$16+1,1))</f>
        <v>255.41017495879987</v>
      </c>
      <c r="FK37" s="59">
        <f t="shared" si="48"/>
        <v>297.50513563712764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7.7085030779932495</v>
      </c>
      <c r="FR37" s="21">
        <f>EXP(-LN(2)/25)*FR36+(1-EXP(-LN(2)/25))/(LN(2)/25)*Calculateur!FM37*Calculateur!FO37*VLOOKUP('Données projet'!$B$16,Paramètres!$A$1:$I$89,3,0)*0.475*44/12</f>
        <v>24.944230323770121</v>
      </c>
      <c r="FS37" s="21">
        <f>EXP(-LN(2)/2)*FS36+(1-EXP(-LN(2)/2))/(LN(2)/2)*FM37*FP37*VLOOKUP('Données projet'!$B$16,Paramètres!$A$1:$I$89,3,0)*0.475*44/12</f>
        <v>6.10029778422797</v>
      </c>
      <c r="FT37" s="22">
        <f t="shared" si="24"/>
        <v>38.75303118599134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12.4</v>
      </c>
      <c r="FZ37" s="12">
        <f>IF('Données projet'!$A$244&gt;35,FZ36+FY37-GH36,IF(A37&lt;'Données projet'!$A$244,$FW$205^A37,IF(A37='Données projet'!$A$244,'Données projet'!$B$244,FZ36+FY37-GH36)))</f>
        <v>222.60000000000011</v>
      </c>
      <c r="GA37" s="17">
        <f>FZ37*VLOOKUP('Données projet'!$B$17,Paramètres!$A$1:$I$89,3,0)*VLOOKUP('Données projet'!$B$17,Paramètres!$A$1:$I$89,5,0)</f>
        <v>133.11480000000009</v>
      </c>
      <c r="GB37" s="13">
        <f t="shared" si="49"/>
        <v>34.715103341058125</v>
      </c>
      <c r="GC37" s="20">
        <f t="shared" si="25"/>
        <v>292.30374831900969</v>
      </c>
      <c r="GD37" s="59">
        <f t="shared" si="26"/>
        <v>585.637081652343</v>
      </c>
      <c r="GE37" s="59">
        <f ca="1">AVERAGE(OFFSET($GD$3,0,0,'Données projet'!$E$17+1,1))-AVERAGE(OFFSET($H$3,0,0,'Données projet'!$E$17+1,1))</f>
        <v>259.30247982593914</v>
      </c>
      <c r="GF37" s="59">
        <f t="shared" si="50"/>
        <v>275.24740346220779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16.139998768008923</v>
      </c>
      <c r="GN37" s="21">
        <f>EXP(-LN(2)/2)*GN36+(1-EXP(-LN(2)/2))/(LN(2)/2)*GH37*GK37*VLOOKUP('Données projet'!$B$17,Paramètres!$A$1:$I$89,3,0)*0.475*44/12</f>
        <v>7.1701175454662556</v>
      </c>
      <c r="GO37" s="21">
        <f t="shared" si="27"/>
        <v>23.310116313475177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10.199999999999999</v>
      </c>
      <c r="GU37" s="12">
        <f>IF('Données projet'!$A$270&gt;35,GU36+GT37-HC36,IF(A37&lt;'Données projet'!$A$270,$GR$205^A37,IF(A37='Données projet'!$A$270,'Données projet'!$B$270,GU36+GT37-HC36)))</f>
        <v>158.79999999999993</v>
      </c>
      <c r="GV37" s="17">
        <f>GU37*VLOOKUP('Données projet'!$B$18,Paramètres!$A$1:$I$89,3,0)*VLOOKUP('Données projet'!$B$18,Paramètres!$A$1:$I$89,5,0)</f>
        <v>126.34127999999994</v>
      </c>
      <c r="GW37" s="13">
        <f t="shared" si="51"/>
        <v>33.14953705360643</v>
      </c>
      <c r="GX37" s="20">
        <f t="shared" si="28"/>
        <v>277.77983970169777</v>
      </c>
      <c r="GY37" s="59">
        <f t="shared" si="29"/>
        <v>571.11317303503108</v>
      </c>
      <c r="GZ37" s="59">
        <f ca="1">AVERAGE(OFFSET($GY$3,0,0,'Données projet'!$E$18+1,1))-AVERAGE(OFFSET($H$3,0,0,'Données projet'!$E$18+1,1))</f>
        <v>199.58763537752952</v>
      </c>
      <c r="HA37" s="59">
        <f t="shared" si="52"/>
        <v>242.62852778451929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9.2035217438859842</v>
      </c>
      <c r="HI37" s="21">
        <f>EXP(-LN(2)/2)*HI36+(1-EXP(-LN(2)/2))/(LN(2)/2)*HC37*HF37*VLOOKUP('Données projet'!$B$18,Paramètres!$A$1:$I$89,3,0)*0.475*44/12</f>
        <v>2.6903895983050519</v>
      </c>
      <c r="HJ37" s="22">
        <f t="shared" si="30"/>
        <v>11.893911342191036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8.1999999999999993</v>
      </c>
      <c r="N38" s="13">
        <f>IF('Données projet'!$A$36&gt;35,N37+M38-V37,IF(A38&lt;'Données projet'!$A$36,$K$205^A38,IF(A38='Données projet'!$A$36,'Données projet'!$B$36,N37+M38-V37)))</f>
        <v>116.99999999999999</v>
      </c>
      <c r="O38" s="13">
        <f>N38*VLOOKUP('Données projet'!$B$9,Paramètres!$A$1:$I$89,3,0)*VLOOKUP('Données projet'!$B$9,Paramètres!$A$1:$I$89,5,0)</f>
        <v>105.86159999999998</v>
      </c>
      <c r="P38" s="13">
        <f t="shared" si="33"/>
        <v>28.353779818951288</v>
      </c>
      <c r="Q38" s="20">
        <f t="shared" si="53"/>
        <v>233.75845318467347</v>
      </c>
      <c r="R38" s="59">
        <f t="shared" si="0"/>
        <v>527.09178651800676</v>
      </c>
      <c r="S38" s="59">
        <f ca="1">AVERAGE(OFFSET($R$3,0,0,'Données projet'!$E$9+1,1))-AVERAGE(OFFSET($H$3,0,0,'Données projet'!$E$9+1,1))</f>
        <v>237.22177246688199</v>
      </c>
      <c r="T38" s="59">
        <f t="shared" si="34"/>
        <v>149.27472147904302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2.7038762256240245</v>
      </c>
      <c r="AB38" s="21">
        <f>EXP(-LN(2)/2)*AB37+(1-EXP(-LN(2)/2))/(LN(2)/2)*V38*Y38*VLOOKUP('Données projet'!$B$9,Paramètres!$A$1:$I$89,3,0)*0.475*44/12</f>
        <v>1.0941324597471873</v>
      </c>
      <c r="AC38" s="22">
        <f t="shared" si="3"/>
        <v>3.7980086853712116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8.1999999999999993</v>
      </c>
      <c r="AI38" s="13">
        <f>IF('Données projet'!$A$62&gt;35,AI37+AH38-AQ37,IF(A38&lt;'Données projet'!$A$62,$AF$205^A38,IF(A38='Données projet'!$A$62,'Données projet'!$B$62,AI37+AH38-AQ37)))</f>
        <v>116.99999999999999</v>
      </c>
      <c r="AJ38" s="13">
        <f>AI38*VLOOKUP('Données projet'!$B$10,Paramètres!$A$1:$I$89,3,0)*VLOOKUP('Données projet'!$B$10,Paramètres!$A$1:$I$89,5,0)</f>
        <v>118.63800000000001</v>
      </c>
      <c r="AK38" s="13">
        <f t="shared" si="35"/>
        <v>31.357124429643687</v>
      </c>
      <c r="AL38" s="20">
        <f t="shared" si="4"/>
        <v>261.24150838162944</v>
      </c>
      <c r="AM38" s="59">
        <f t="shared" si="5"/>
        <v>554.57484171496276</v>
      </c>
      <c r="AN38" s="59">
        <f ca="1">AVERAGE(OFFSET($AM$3,0,0,'Données projet'!$E$10+1,1))-AVERAGE(OFFSET($H$3,0,0,'Données projet'!$E$10+1,1))</f>
        <v>279.20364724206644</v>
      </c>
      <c r="AO38" s="59">
        <f t="shared" si="36"/>
        <v>173.99850582760712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3.0302061149234754</v>
      </c>
      <c r="AW38" s="21">
        <f>EXP(-LN(2)/2)*AW37+(1-EXP(-LN(2)/2))/(LN(2)/2)*AQ38*AT38*VLOOKUP('Données projet'!$B$10,Paramètres!$A$1:$I$89,3,0)*0.475*44/12</f>
        <v>1.2261829290270201</v>
      </c>
      <c r="AX38" s="21">
        <f t="shared" si="6"/>
        <v>4.2563890439504952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10.000000000000004</v>
      </c>
      <c r="BD38" s="12">
        <f>IF('Données projet'!$A$88&gt;35,BD37+BC38-BL37,IF(A38&lt;'Données projet'!$A$88,$BA$205^A38,IF(A38='Données projet'!$A$88,'Données projet'!$B$88,BD37+BC38-BL37)))</f>
        <v>241.59999999999988</v>
      </c>
      <c r="BE38" s="13">
        <f>BD38*VLOOKUP('Données projet'!$B$11,Paramètres!$A$1:$I$89,3,0)*VLOOKUP('Données projet'!$B$11,Paramètres!$A$1:$I$89,5,0)</f>
        <v>113.06879999999995</v>
      </c>
      <c r="BF38" s="13">
        <f t="shared" si="37"/>
        <v>30.052855829090237</v>
      </c>
      <c r="BG38" s="20">
        <f t="shared" si="7"/>
        <v>249.27021723566543</v>
      </c>
      <c r="BH38" s="59">
        <f t="shared" si="8"/>
        <v>542.6035505689988</v>
      </c>
      <c r="BI38" s="59">
        <f ca="1">AVERAGE(OFFSET($BH$3,0,0,'Données projet'!$E$11+1,1))-AVERAGE(OFFSET($H$3,0,0,'Données projet'!$E$11+1,1))</f>
        <v>215.23235148064941</v>
      </c>
      <c r="BJ38" s="59">
        <f t="shared" si="38"/>
        <v>184.07239726900434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2.8390647343352371</v>
      </c>
      <c r="BQ38" s="21">
        <f>EXP(-LN(2)/25)*BQ37+(1-EXP(-LN(2)/25))/(LN(2)/25)*Calculateur!BL38*Calculateur!BN38*VLOOKUP('Données projet'!$B$11,Paramètres!$A$1:$I$89,3,0)*0.475*44/12</f>
        <v>6.8385789183214278</v>
      </c>
      <c r="BR38" s="21">
        <f>EXP(-LN(2)/2)*BR37+(1-EXP(-LN(2)/2))/(LN(2)/2)*BL38*BO38*VLOOKUP('Données projet'!$B$11,Paramètres!$A$1:$I$89,3,0)*0.475*44/12</f>
        <v>1.738099665760044</v>
      </c>
      <c r="BS38" s="22">
        <f t="shared" si="9"/>
        <v>11.415743318416709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8.1999999999999993</v>
      </c>
      <c r="BY38" s="12">
        <f>IF('Données projet'!$A$114&gt;35,BY37+BX38-CG37,IF(A38&lt;'Données projet'!$A$114,$BV$205^A38,IF(A38='Données projet'!$A$114,'Données projet'!$B$114,BY37+BX38-CG37)))</f>
        <v>116.99999999999999</v>
      </c>
      <c r="BZ38" s="13">
        <f>BY38*VLOOKUP('Données projet'!$B$12,Paramètres!$A$1:$I$89,3,0)*VLOOKUP('Données projet'!$B$12,Paramètres!$A$1:$I$89,5,0)</f>
        <v>125.93879999999999</v>
      </c>
      <c r="CA38" s="13">
        <f t="shared" si="39"/>
        <v>33.056208869615254</v>
      </c>
      <c r="CB38" s="20">
        <f t="shared" si="10"/>
        <v>276.91630711457987</v>
      </c>
      <c r="CC38" s="59">
        <f t="shared" si="11"/>
        <v>570.24964044791318</v>
      </c>
      <c r="CD38" s="59">
        <f ca="1">AVERAGE(OFFSET($CC$3,0,0,'Données projet'!$E$12+1,1))-AVERAGE(OFFSET($H$3,0,0,'Données projet'!$E$12+1,1))</f>
        <v>303.1504619632214</v>
      </c>
      <c r="CE38" s="59">
        <f t="shared" si="40"/>
        <v>188.09929616366503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3.2166803373803043</v>
      </c>
      <c r="CM38" s="21">
        <f>EXP(-LN(2)/2)*CM37+(1-EXP(-LN(2)/2))/(LN(2)/2)*CG38*CJ38*VLOOKUP('Données projet'!$B$12,Paramètres!$A$1:$I$89,3,0)*0.475*44/12</f>
        <v>1.3016403400440679</v>
      </c>
      <c r="CN38" s="22">
        <f t="shared" si="12"/>
        <v>4.5183206774243718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10.199999999999999</v>
      </c>
      <c r="CT38" s="12">
        <f>IF('Données projet'!$A$140&gt;35,CT37+CS38-DB37,IF(A38&lt;'Données projet'!$A$140,$CQ$205^A38,IF(A38='Données projet'!$A$140,'Données projet'!$B$140,CT37+CS38-DB37)))</f>
        <v>168.99999999999991</v>
      </c>
      <c r="CU38" s="17">
        <f>CT38*VLOOKUP('Données projet'!$B$13,Paramètres!$A$1:$I$89,3,0)*VLOOKUP('Données projet'!$B$13,Paramètres!$A$1:$I$89,5,0)</f>
        <v>113.36519999999994</v>
      </c>
      <c r="CV38" s="13">
        <f t="shared" si="41"/>
        <v>30.122456058687586</v>
      </c>
      <c r="CW38" s="20">
        <f t="shared" si="13"/>
        <v>249.90766763554743</v>
      </c>
      <c r="CX38" s="59">
        <f t="shared" si="14"/>
        <v>543.24100096888071</v>
      </c>
      <c r="CY38" s="59">
        <f ca="1">AVERAGE(OFFSET($CX$3,0,0,'Données projet'!$E$13+1,1))-AVERAGE(OFFSET($H$3,0,0,'Données projet'!$E$13+1,1))</f>
        <v>156.63226020379989</v>
      </c>
      <c r="CZ38" s="59">
        <f t="shared" si="42"/>
        <v>196.0481096619543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7.5476390428570932</v>
      </c>
      <c r="DH38" s="21">
        <f>EXP(-LN(2)/2)*DH37+(1-EXP(-LN(2)/2))/(LN(2)/2)*DB38*DE38*VLOOKUP('Données projet'!$B$13,Paramètres!$A$1:$I$89,3,0)*0.475*44/12</f>
        <v>1.6039781832705082</v>
      </c>
      <c r="DI38" s="22">
        <f t="shared" si="15"/>
        <v>9.1516172261276019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228</v>
      </c>
      <c r="DM38" s="12">
        <f>VLOOKUP(A38,'Données projet'!$A$165:$I$185,9,0)</f>
        <v>5.2</v>
      </c>
      <c r="DN38" s="12">
        <f t="array" ref="DN38">INDEX(DM:DM,MIN(IF(ISNUMBER(DM38:DM234),ROW(DM38:DM234),"")))</f>
        <v>5.2</v>
      </c>
      <c r="DO38" s="12">
        <f>IF('Données projet'!$A$166&gt;35,DO37+DN38-DW37,IF(A38&lt;'Données projet'!$A$166,$DL$205^A38,IF(A38='Données projet'!$A$166,'Données projet'!$B$166,DO37+DN38-DW37)))</f>
        <v>227.99999999999991</v>
      </c>
      <c r="DP38" s="17">
        <f>DO38*VLOOKUP('Données projet'!$B$14,Paramètres!$A$1:$I$89,3,0)*VLOOKUP('Données projet'!$B$14,Paramètres!$A$1:$I$89,5,0)</f>
        <v>206.29439999999994</v>
      </c>
      <c r="DQ38" s="13">
        <f t="shared" si="43"/>
        <v>51.124981739560724</v>
      </c>
      <c r="DR38" s="20">
        <f t="shared" si="16"/>
        <v>448.33875652973478</v>
      </c>
      <c r="DS38" s="59">
        <f t="shared" si="17"/>
        <v>741.67208986306809</v>
      </c>
      <c r="DT38" s="59">
        <f ca="1">AVERAGE(OFFSET($DS$3,0,0,'Données projet'!$E$14+1,1))-AVERAGE(OFFSET($H$3,0,0,'Données projet'!$E$14+1,1))</f>
        <v>225.28075317732998</v>
      </c>
      <c r="DU38" s="59">
        <f t="shared" si="44"/>
        <v>358.43407531256207</v>
      </c>
      <c r="DV38" s="15">
        <f>IF(ISNA(VLOOKUP(A38,'Données projet'!$A$165:$I$185,3,0)),0,VLOOKUP(A38,'Données projet'!$A$165:$I$185,3,0))</f>
        <v>7</v>
      </c>
      <c r="DW38" s="15">
        <f>IF(ISNA(VLOOKUP(A38,'Données projet'!$A$165:$I$185,4,0)),0,VLOOKUP(A38,'Données projet'!$A$165:$I$185,4,0))</f>
        <v>228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2.0320128552492291</v>
      </c>
      <c r="EB38" s="21">
        <f>EXP(-LN(2)/25)*EB37+(1-EXP(-LN(2)/25))/(LN(2)/25)*Calculateur!DW38*Calculateur!DY38*VLOOKUP('Données projet'!$B$14,Paramètres!$A$1:$I$89,3,0)*0.475*44/12</f>
        <v>7.2012436024447632</v>
      </c>
      <c r="EC38" s="21">
        <f>EXP(-LN(2)/2)*EC37+(1-EXP(-LN(2)/2))/(LN(2)/2)*DW38*DZ38*VLOOKUP('Données projet'!$B$14,Paramètres!$A$1:$I$89,3,0)*0.475*44/12</f>
        <v>0.78029606567388865</v>
      </c>
      <c r="ED38" s="22">
        <f t="shared" si="18"/>
        <v>10.013552523367881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22</v>
      </c>
      <c r="EJ38" s="12">
        <f>IF('Données projet'!$A$192&gt;35,EJ37+EI38-ER37,IF(A38&lt;'Données projet'!$A$192,$EG$205^A38,IF(A38='Données projet'!$A$192,'Données projet'!$B$192,EJ37+EI38-ER37)))</f>
        <v>318.99999999999989</v>
      </c>
      <c r="EK38" s="17">
        <f>EJ38*VLOOKUP('Données projet'!$B$15,Paramètres!$A$1:$I$89,3,0)*VLOOKUP('Données projet'!$B$15,Paramètres!$A$1:$I$89,5,0)</f>
        <v>178.32099999999994</v>
      </c>
      <c r="EL38" s="13">
        <f t="shared" si="45"/>
        <v>44.948436103175418</v>
      </c>
      <c r="EM38" s="20">
        <f t="shared" si="19"/>
        <v>388.86093454636375</v>
      </c>
      <c r="EN38" s="59">
        <f t="shared" si="20"/>
        <v>682.19426787969701</v>
      </c>
      <c r="EO38" s="59">
        <f ca="1">AVERAGE(OFFSET($EN$3,0,0,'Données projet'!$E$15+1,1))-AVERAGE(OFFSET($H$3,0,0,'Données projet'!$E$15+1,1))</f>
        <v>326.31232746914907</v>
      </c>
      <c r="EP38" s="59">
        <f t="shared" si="46"/>
        <v>330.17137761430297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4.1372959817715156</v>
      </c>
      <c r="EW38" s="21">
        <f>EXP(-LN(2)/25)*EW37+(1-EXP(-LN(2)/25))/(LN(2)/25)*Calculateur!ER38*Calculateur!ET38*VLOOKUP('Données projet'!$B$15,Paramètres!$A$1:$I$89,3,0)*0.475*44/12</f>
        <v>26.267077111478574</v>
      </c>
      <c r="EX38" s="21">
        <f>EXP(-LN(2)/2)*EX37+(1-EXP(-LN(2)/2))/(LN(2)/2)*ER38*EU38*VLOOKUP('Données projet'!$B$15,Paramètres!$A$1:$I$89,3,0)*0.475*44/12</f>
        <v>5.7491473062707286</v>
      </c>
      <c r="EY38" s="22">
        <f t="shared" si="21"/>
        <v>36.153520399520815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15.1</v>
      </c>
      <c r="FE38" s="12">
        <f>IF('Données projet'!$A$218&gt;35,FE37+FD38-FM37,IF(A38&lt;'Données projet'!$A$218,$FB$205^A38,IF(A38='Données projet'!$A$218,'Données projet'!$B$218,FE37+FD38-FM37)))</f>
        <v>254.5</v>
      </c>
      <c r="FF38" s="17">
        <f>FE38*VLOOKUP('Données projet'!$B$16,Paramètres!$A$1:$I$89,3,0)*VLOOKUP('Données projet'!$B$16,Paramètres!$A$1:$I$89,5,0)</f>
        <v>158.80799999999999</v>
      </c>
      <c r="FG38" s="13">
        <f t="shared" si="47"/>
        <v>40.573539580413687</v>
      </c>
      <c r="FH38" s="20">
        <f t="shared" si="22"/>
        <v>347.25618143588719</v>
      </c>
      <c r="FI38" s="59">
        <f t="shared" si="23"/>
        <v>640.5895147692205</v>
      </c>
      <c r="FJ38" s="59">
        <f ca="1">AVERAGE(OFFSET($FI$3,0,0,'Données projet'!$E$16+1,1))-AVERAGE(OFFSET($H$3,0,0,'Données projet'!$E$16+1,1))</f>
        <v>255.41017495879987</v>
      </c>
      <c r="FK38" s="59">
        <f t="shared" si="48"/>
        <v>297.50513563712764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7.5573440343564231</v>
      </c>
      <c r="FR38" s="21">
        <f>EXP(-LN(2)/25)*FR37+(1-EXP(-LN(2)/25))/(LN(2)/25)*Calculateur!FM38*Calculateur!FO38*VLOOKUP('Données projet'!$B$16,Paramètres!$A$1:$I$89,3,0)*0.475*44/12</f>
        <v>24.262129033806566</v>
      </c>
      <c r="FS38" s="21">
        <f>EXP(-LN(2)/2)*FS37+(1-EXP(-LN(2)/2))/(LN(2)/2)*FM38*FP38*VLOOKUP('Données projet'!$B$16,Paramètres!$A$1:$I$89,3,0)*0.475*44/12</f>
        <v>4.3135619304848678</v>
      </c>
      <c r="FT38" s="22">
        <f t="shared" si="24"/>
        <v>36.133034998647858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12.4</v>
      </c>
      <c r="FZ38" s="12">
        <f>IF('Données projet'!$A$244&gt;35,FZ37+FY38-GH37,IF(A38&lt;'Données projet'!$A$244,$FW$205^A38,IF(A38='Données projet'!$A$244,'Données projet'!$B$244,FZ37+FY38-GH37)))</f>
        <v>235.00000000000011</v>
      </c>
      <c r="GA38" s="17">
        <f>FZ38*VLOOKUP('Données projet'!$B$17,Paramètres!$A$1:$I$89,3,0)*VLOOKUP('Données projet'!$B$17,Paramètres!$A$1:$I$89,5,0)</f>
        <v>140.53000000000006</v>
      </c>
      <c r="GB38" s="13">
        <f t="shared" si="49"/>
        <v>36.418394338798777</v>
      </c>
      <c r="GC38" s="20">
        <f t="shared" si="25"/>
        <v>308.18512014007462</v>
      </c>
      <c r="GD38" s="59">
        <f t="shared" si="26"/>
        <v>601.51845347340793</v>
      </c>
      <c r="GE38" s="59">
        <f ca="1">AVERAGE(OFFSET($GD$3,0,0,'Données projet'!$E$17+1,1))-AVERAGE(OFFSET($H$3,0,0,'Données projet'!$E$17+1,1))</f>
        <v>259.30247982593914</v>
      </c>
      <c r="GF38" s="59">
        <f t="shared" si="50"/>
        <v>275.24740346220779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15.698649652932072</v>
      </c>
      <c r="GN38" s="21">
        <f>EXP(-LN(2)/2)*GN37+(1-EXP(-LN(2)/2))/(LN(2)/2)*GH38*GK38*VLOOKUP('Données projet'!$B$17,Paramètres!$A$1:$I$89,3,0)*0.475*44/12</f>
        <v>5.0700387383038334</v>
      </c>
      <c r="GO38" s="21">
        <f t="shared" si="27"/>
        <v>20.768688391235905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10.199999999999999</v>
      </c>
      <c r="GU38" s="12">
        <f>IF('Données projet'!$A$270&gt;35,GU37+GT38-HC37,IF(A38&lt;'Données projet'!$A$270,$GR$205^A38,IF(A38='Données projet'!$A$270,'Données projet'!$B$270,GU37+GT38-HC37)))</f>
        <v>168.99999999999991</v>
      </c>
      <c r="GV38" s="17">
        <f>GU38*VLOOKUP('Données projet'!$B$18,Paramètres!$A$1:$I$89,3,0)*VLOOKUP('Données projet'!$B$18,Paramètres!$A$1:$I$89,5,0)</f>
        <v>134.45639999999995</v>
      </c>
      <c r="GW38" s="13">
        <f t="shared" si="51"/>
        <v>35.024073835162383</v>
      </c>
      <c r="GX38" s="20">
        <f t="shared" si="28"/>
        <v>295.17849192957436</v>
      </c>
      <c r="GY38" s="59">
        <f t="shared" si="29"/>
        <v>588.51182526290768</v>
      </c>
      <c r="GZ38" s="59">
        <f ca="1">AVERAGE(OFFSET($GY$3,0,0,'Données projet'!$E$18+1,1))-AVERAGE(OFFSET($H$3,0,0,'Données projet'!$E$18+1,1))</f>
        <v>199.58763537752952</v>
      </c>
      <c r="HA38" s="59">
        <f t="shared" si="52"/>
        <v>242.62852778451929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8.9518509578072489</v>
      </c>
      <c r="HI38" s="21">
        <f>EXP(-LN(2)/2)*HI37+(1-EXP(-LN(2)/2))/(LN(2)/2)*HC38*HF38*VLOOKUP('Données projet'!$B$18,Paramètres!$A$1:$I$89,3,0)*0.475*44/12</f>
        <v>1.902392728995254</v>
      </c>
      <c r="HJ38" s="22">
        <f t="shared" si="30"/>
        <v>10.854243686802503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125.19999999999999</v>
      </c>
      <c r="O39" s="13">
        <f>N39*VLOOKUP('Données projet'!$B$9,Paramètres!$A$1:$I$89,3,0)*VLOOKUP('Données projet'!$B$9,Paramètres!$A$1:$I$89,5,0)</f>
        <v>113.28095999999998</v>
      </c>
      <c r="P39" s="13">
        <f t="shared" si="33"/>
        <v>30.102677097724456</v>
      </c>
      <c r="Q39" s="20">
        <f t="shared" si="53"/>
        <v>249.72650127853672</v>
      </c>
      <c r="R39" s="59">
        <f t="shared" si="0"/>
        <v>543.05983461186997</v>
      </c>
      <c r="S39" s="59">
        <f ca="1">AVERAGE(OFFSET($R$3,0,0,'Données projet'!$E$9+1,1))-AVERAGE(OFFSET($H$3,0,0,'Données projet'!$E$9+1,1))</f>
        <v>237.22177246688199</v>
      </c>
      <c r="T39" s="59">
        <f t="shared" si="34"/>
        <v>149.27472147904302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2.6299385880436645</v>
      </c>
      <c r="AB39" s="21">
        <f>EXP(-LN(2)/2)*AB38+(1-EXP(-LN(2)/2))/(LN(2)/2)*V39*Y39*VLOOKUP('Données projet'!$B$9,Paramètres!$A$1:$I$89,3,0)*0.475*44/12</f>
        <v>0.77366848180355341</v>
      </c>
      <c r="AC39" s="22">
        <f t="shared" si="3"/>
        <v>3.4036070698472178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8.1999999999999993</v>
      </c>
      <c r="AI39" s="13">
        <f>IF('Données projet'!$A$62&gt;35,AI38+AH39-AQ38,IF(A39&lt;'Données projet'!$A$62,$AF$205^A39,IF(A39='Données projet'!$A$62,'Données projet'!$B$62,AI38+AH39-AQ38)))</f>
        <v>125.19999999999999</v>
      </c>
      <c r="AJ39" s="13">
        <f>AI39*VLOOKUP('Données projet'!$B$10,Paramètres!$A$1:$I$89,3,0)*VLOOKUP('Données projet'!$B$10,Paramètres!$A$1:$I$89,5,0)</f>
        <v>126.9528</v>
      </c>
      <c r="AK39" s="13">
        <f t="shared" si="35"/>
        <v>33.291271832047542</v>
      </c>
      <c r="AL39" s="20">
        <f t="shared" si="4"/>
        <v>279.09175844081614</v>
      </c>
      <c r="AM39" s="59">
        <f t="shared" si="5"/>
        <v>572.42509177414945</v>
      </c>
      <c r="AN39" s="59">
        <f ca="1">AVERAGE(OFFSET($AM$3,0,0,'Données projet'!$E$10+1,1))-AVERAGE(OFFSET($H$3,0,0,'Données projet'!$E$10+1,1))</f>
        <v>279.20364724206644</v>
      </c>
      <c r="AO39" s="59">
        <f t="shared" si="36"/>
        <v>173.99850582760712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2.9473449693592788</v>
      </c>
      <c r="AW39" s="21">
        <f>EXP(-LN(2)/2)*AW38+(1-EXP(-LN(2)/2))/(LN(2)/2)*AQ39*AT39*VLOOKUP('Données projet'!$B$10,Paramètres!$A$1:$I$89,3,0)*0.475*44/12</f>
        <v>0.86704226409018903</v>
      </c>
      <c r="AX39" s="21">
        <f t="shared" si="6"/>
        <v>3.8143872334494677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10.000000000000004</v>
      </c>
      <c r="BD39" s="12">
        <f>IF('Données projet'!$A$88&gt;35,BD38+BC39-BL38,IF(A39&lt;'Données projet'!$A$88,$BA$205^A39,IF(A39='Données projet'!$A$88,'Données projet'!$B$88,BD38+BC39-BL38)))</f>
        <v>251.59999999999988</v>
      </c>
      <c r="BE39" s="13">
        <f>BD39*VLOOKUP('Données projet'!$B$11,Paramètres!$A$1:$I$89,3,0)*VLOOKUP('Données projet'!$B$11,Paramètres!$A$1:$I$89,5,0)</f>
        <v>117.74879999999995</v>
      </c>
      <c r="BF39" s="13">
        <f t="shared" si="37"/>
        <v>31.149366548366</v>
      </c>
      <c r="BG39" s="20">
        <f t="shared" si="7"/>
        <v>259.33097340507067</v>
      </c>
      <c r="BH39" s="59">
        <f t="shared" si="8"/>
        <v>552.66430673840398</v>
      </c>
      <c r="BI39" s="59">
        <f ca="1">AVERAGE(OFFSET($BH$3,0,0,'Données projet'!$E$11+1,1))-AVERAGE(OFFSET($H$3,0,0,'Données projet'!$E$11+1,1))</f>
        <v>215.23235148064941</v>
      </c>
      <c r="BJ39" s="59">
        <f t="shared" si="38"/>
        <v>184.07239726900434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2.7833924065534239</v>
      </c>
      <c r="BQ39" s="21">
        <f>EXP(-LN(2)/25)*BQ38+(1-EXP(-LN(2)/25))/(LN(2)/25)*Calculateur!BL39*Calculateur!BN39*VLOOKUP('Données projet'!$B$11,Paramètres!$A$1:$I$89,3,0)*0.475*44/12</f>
        <v>6.6515776181746933</v>
      </c>
      <c r="BR39" s="21">
        <f>EXP(-LN(2)/2)*BR38+(1-EXP(-LN(2)/2))/(LN(2)/2)*BL39*BO39*VLOOKUP('Données projet'!$B$11,Paramètres!$A$1:$I$89,3,0)*0.475*44/12</f>
        <v>1.229022060036999</v>
      </c>
      <c r="BS39" s="22">
        <f t="shared" si="9"/>
        <v>10.663992084765116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8.1999999999999993</v>
      </c>
      <c r="BY39" s="12">
        <f>IF('Données projet'!$A$114&gt;35,BY38+BX39-CG38,IF(A39&lt;'Données projet'!$A$114,$BV$205^A39,IF(A39='Données projet'!$A$114,'Données projet'!$B$114,BY38+BX39-CG38)))</f>
        <v>125.19999999999999</v>
      </c>
      <c r="BZ39" s="13">
        <f>BY39*VLOOKUP('Données projet'!$B$12,Paramètres!$A$1:$I$89,3,0)*VLOOKUP('Données projet'!$B$12,Paramètres!$A$1:$I$89,5,0)</f>
        <v>134.76527999999999</v>
      </c>
      <c r="CA39" s="13">
        <f t="shared" si="39"/>
        <v>35.095157965918347</v>
      </c>
      <c r="CB39" s="20">
        <f t="shared" si="10"/>
        <v>295.84026279064108</v>
      </c>
      <c r="CC39" s="59">
        <f t="shared" si="11"/>
        <v>589.17359612397445</v>
      </c>
      <c r="CD39" s="59">
        <f ca="1">AVERAGE(OFFSET($CC$3,0,0,'Données projet'!$E$12+1,1))-AVERAGE(OFFSET($H$3,0,0,'Données projet'!$E$12+1,1))</f>
        <v>303.1504619632214</v>
      </c>
      <c r="CE39" s="59">
        <f t="shared" si="40"/>
        <v>188.09929616366503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3.1287200443967729</v>
      </c>
      <c r="CM39" s="21">
        <f>EXP(-LN(2)/2)*CM38+(1-EXP(-LN(2)/2))/(LN(2)/2)*CG39*CJ39*VLOOKUP('Données projet'!$B$12,Paramètres!$A$1:$I$89,3,0)*0.475*44/12</f>
        <v>0.92039871111112415</v>
      </c>
      <c r="CN39" s="22">
        <f t="shared" si="12"/>
        <v>4.0491187555078971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10.199999999999999</v>
      </c>
      <c r="CT39" s="12">
        <f>IF('Données projet'!$A$140&gt;35,CT38+CS39-DB38,IF(A39&lt;'Données projet'!$A$140,$CQ$205^A39,IF(A39='Données projet'!$A$140,'Données projet'!$B$140,CT38+CS39-DB38)))</f>
        <v>179.1999999999999</v>
      </c>
      <c r="CU39" s="17">
        <f>CT39*VLOOKUP('Données projet'!$B$13,Paramètres!$A$1:$I$89,3,0)*VLOOKUP('Données projet'!$B$13,Paramètres!$A$1:$I$89,5,0)</f>
        <v>120.20735999999994</v>
      </c>
      <c r="CV39" s="13">
        <f t="shared" si="41"/>
        <v>31.72335774813088</v>
      </c>
      <c r="CW39" s="20">
        <f t="shared" si="13"/>
        <v>264.61266674466111</v>
      </c>
      <c r="CX39" s="59">
        <f t="shared" si="14"/>
        <v>557.94600007799443</v>
      </c>
      <c r="CY39" s="59">
        <f ca="1">AVERAGE(OFFSET($CX$3,0,0,'Données projet'!$E$13+1,1))-AVERAGE(OFFSET($H$3,0,0,'Données projet'!$E$13+1,1))</f>
        <v>156.63226020379989</v>
      </c>
      <c r="CZ39" s="59">
        <f t="shared" si="42"/>
        <v>196.0481096619543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7.3412484563170795</v>
      </c>
      <c r="DH39" s="21">
        <f>EXP(-LN(2)/2)*DH38+(1-EXP(-LN(2)/2))/(LN(2)/2)*DB39*DE39*VLOOKUP('Données projet'!$B$13,Paramètres!$A$1:$I$89,3,0)*0.475*44/12</f>
        <v>1.1341838502658554</v>
      </c>
      <c r="DI39" s="22">
        <f t="shared" si="15"/>
        <v>8.4754323065829347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-8.5265128291212022E-14</v>
      </c>
      <c r="DP39" s="17">
        <f>DO39*VLOOKUP('Données projet'!$B$14,Paramètres!$A$1:$I$89,3,0)*VLOOKUP('Données projet'!$B$14,Paramètres!$A$1:$I$89,5,0)</f>
        <v>-7.7147888077888636E-14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225.28075317732998</v>
      </c>
      <c r="DU39" s="59">
        <f t="shared" si="44"/>
        <v>358.43407531256207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1.9921663225632524</v>
      </c>
      <c r="EB39" s="21">
        <f>EXP(-LN(2)/25)*EB38+(1-EXP(-LN(2)/25))/(LN(2)/25)*Calculateur!DW39*Calculateur!DY39*VLOOKUP('Données projet'!$B$14,Paramètres!$A$1:$I$89,3,0)*0.475*44/12</f>
        <v>7.0043252174389687</v>
      </c>
      <c r="EC39" s="21">
        <f>EXP(-LN(2)/2)*EC38+(1-EXP(-LN(2)/2))/(LN(2)/2)*DW39*DZ39*VLOOKUP('Données projet'!$B$14,Paramètres!$A$1:$I$89,3,0)*0.475*44/12</f>
        <v>0.55175263937119035</v>
      </c>
      <c r="ED39" s="22">
        <f t="shared" si="18"/>
        <v>9.5482441793734125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22</v>
      </c>
      <c r="EJ39" s="12">
        <f>IF('Données projet'!$A$192&gt;35,EJ38+EI39-ER38,IF(A39&lt;'Données projet'!$A$192,$EG$205^A39,IF(A39='Données projet'!$A$192,'Données projet'!$B$192,EJ38+EI39-ER38)))</f>
        <v>340.99999999999989</v>
      </c>
      <c r="EK39" s="17">
        <f>EJ39*VLOOKUP('Données projet'!$B$15,Paramètres!$A$1:$I$89,3,0)*VLOOKUP('Données projet'!$B$15,Paramètres!$A$1:$I$89,5,0)</f>
        <v>190.61899999999991</v>
      </c>
      <c r="EL39" s="13">
        <f t="shared" si="45"/>
        <v>47.676779045481801</v>
      </c>
      <c r="EM39" s="20">
        <f t="shared" si="19"/>
        <v>415.03181517088063</v>
      </c>
      <c r="EN39" s="59">
        <f t="shared" si="20"/>
        <v>708.36514850421395</v>
      </c>
      <c r="EO39" s="59">
        <f ca="1">AVERAGE(OFFSET($EN$3,0,0,'Données projet'!$E$15+1,1))-AVERAGE(OFFSET($H$3,0,0,'Données projet'!$E$15+1,1))</f>
        <v>326.31232746914907</v>
      </c>
      <c r="EP39" s="59">
        <f t="shared" si="46"/>
        <v>330.17137761430297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4.0561661310703503</v>
      </c>
      <c r="EW39" s="21">
        <f>EXP(-LN(2)/25)*EW38+(1-EXP(-LN(2)/25))/(LN(2)/25)*Calculateur!ER39*Calculateur!ET39*VLOOKUP('Données projet'!$B$15,Paramètres!$A$1:$I$89,3,0)*0.475*44/12</f>
        <v>25.548802506539641</v>
      </c>
      <c r="EX39" s="21">
        <f>EXP(-LN(2)/2)*EX38+(1-EXP(-LN(2)/2))/(LN(2)/2)*ER39*EU39*VLOOKUP('Données projet'!$B$15,Paramètres!$A$1:$I$89,3,0)*0.475*44/12</f>
        <v>4.0652610463044052</v>
      </c>
      <c r="EY39" s="22">
        <f t="shared" si="21"/>
        <v>33.6702296839144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15.1</v>
      </c>
      <c r="FE39" s="12">
        <f>IF('Données projet'!$A$218&gt;35,FE38+FD39-FM38,IF(A39&lt;'Données projet'!$A$218,$FB$205^A39,IF(A39='Données projet'!$A$218,'Données projet'!$B$218,FE38+FD39-FM38)))</f>
        <v>269.60000000000002</v>
      </c>
      <c r="FF39" s="17">
        <f>FE39*VLOOKUP('Données projet'!$B$16,Paramètres!$A$1:$I$89,3,0)*VLOOKUP('Données projet'!$B$16,Paramètres!$A$1:$I$89,5,0)</f>
        <v>168.23040000000003</v>
      </c>
      <c r="FG39" s="13">
        <f t="shared" si="47"/>
        <v>42.693451008292193</v>
      </c>
      <c r="FH39" s="20">
        <f t="shared" si="22"/>
        <v>367.3590405061089</v>
      </c>
      <c r="FI39" s="59">
        <f t="shared" si="23"/>
        <v>660.69237383944221</v>
      </c>
      <c r="FJ39" s="59">
        <f ca="1">AVERAGE(OFFSET($FI$3,0,0,'Données projet'!$E$16+1,1))-AVERAGE(OFFSET($H$3,0,0,'Données projet'!$E$16+1,1))</f>
        <v>255.41017495879987</v>
      </c>
      <c r="FK39" s="59">
        <f t="shared" si="48"/>
        <v>297.50513563712764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7.4091491273674022</v>
      </c>
      <c r="FR39" s="21">
        <f>EXP(-LN(2)/25)*FR38+(1-EXP(-LN(2)/25))/(LN(2)/25)*Calculateur!FM39*Calculateur!FO39*VLOOKUP('Données projet'!$B$16,Paramètres!$A$1:$I$89,3,0)*0.475*44/12</f>
        <v>23.598679839487211</v>
      </c>
      <c r="FS39" s="21">
        <f>EXP(-LN(2)/2)*FS38+(1-EXP(-LN(2)/2))/(LN(2)/2)*FM39*FP39*VLOOKUP('Données projet'!$B$16,Paramètres!$A$1:$I$89,3,0)*0.475*44/12</f>
        <v>3.050148892113985</v>
      </c>
      <c r="FT39" s="22">
        <f t="shared" si="24"/>
        <v>34.057977858968599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12.4</v>
      </c>
      <c r="FZ39" s="12">
        <f>IF('Données projet'!$A$244&gt;35,FZ38+FY39-GH38,IF(A39&lt;'Données projet'!$A$244,$FW$205^A39,IF(A39='Données projet'!$A$244,'Données projet'!$B$244,FZ38+FY39-GH38)))</f>
        <v>247.40000000000012</v>
      </c>
      <c r="GA39" s="17">
        <f>FZ39*VLOOKUP('Données projet'!$B$17,Paramètres!$A$1:$I$89,3,0)*VLOOKUP('Données projet'!$B$17,Paramètres!$A$1:$I$89,5,0)</f>
        <v>147.94520000000009</v>
      </c>
      <c r="GB39" s="13">
        <f t="shared" si="49"/>
        <v>38.11125074558732</v>
      </c>
      <c r="GC39" s="20">
        <f t="shared" si="25"/>
        <v>324.04831838189801</v>
      </c>
      <c r="GD39" s="59">
        <f t="shared" si="26"/>
        <v>617.38165171523133</v>
      </c>
      <c r="GE39" s="59">
        <f ca="1">AVERAGE(OFFSET($GD$3,0,0,'Données projet'!$E$17+1,1))-AVERAGE(OFFSET($H$3,0,0,'Données projet'!$E$17+1,1))</f>
        <v>259.30247982593914</v>
      </c>
      <c r="GF39" s="59">
        <f t="shared" si="50"/>
        <v>275.24740346220779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15.26936925261654</v>
      </c>
      <c r="GN39" s="21">
        <f>EXP(-LN(2)/2)*GN38+(1-EXP(-LN(2)/2))/(LN(2)/2)*GH39*GK39*VLOOKUP('Données projet'!$B$17,Paramètres!$A$1:$I$89,3,0)*0.475*44/12</f>
        <v>3.5850587727331287</v>
      </c>
      <c r="GO39" s="21">
        <f t="shared" si="27"/>
        <v>18.854428025349669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10.199999999999999</v>
      </c>
      <c r="GU39" s="12">
        <f>IF('Données projet'!$A$270&gt;35,GU38+GT39-HC38,IF(A39&lt;'Données projet'!$A$270,$GR$205^A39,IF(A39='Données projet'!$A$270,'Données projet'!$B$270,GU38+GT39-HC38)))</f>
        <v>179.1999999999999</v>
      </c>
      <c r="GV39" s="17">
        <f>GU39*VLOOKUP('Données projet'!$B$18,Paramètres!$A$1:$I$89,3,0)*VLOOKUP('Données projet'!$B$18,Paramètres!$A$1:$I$89,5,0)</f>
        <v>142.57151999999994</v>
      </c>
      <c r="GW39" s="13">
        <f t="shared" si="51"/>
        <v>36.88547912245555</v>
      </c>
      <c r="GX39" s="20">
        <f t="shared" si="28"/>
        <v>312.55427347160997</v>
      </c>
      <c r="GY39" s="59">
        <f t="shared" si="29"/>
        <v>605.88760680494329</v>
      </c>
      <c r="GZ39" s="59">
        <f ca="1">AVERAGE(OFFSET($GY$3,0,0,'Données projet'!$E$18+1,1))-AVERAGE(OFFSET($H$3,0,0,'Données projet'!$E$18+1,1))</f>
        <v>199.58763537752952</v>
      </c>
      <c r="HA39" s="59">
        <f t="shared" si="52"/>
        <v>242.62852778451929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8.7070621226086278</v>
      </c>
      <c r="HI39" s="21">
        <f>EXP(-LN(2)/2)*HI38+(1-EXP(-LN(2)/2))/(LN(2)/2)*HC39*HF39*VLOOKUP('Données projet'!$B$18,Paramètres!$A$1:$I$89,3,0)*0.475*44/12</f>
        <v>1.3451947991525262</v>
      </c>
      <c r="HJ39" s="22">
        <f t="shared" si="30"/>
        <v>10.052256921761154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133.39999999999998</v>
      </c>
      <c r="O40" s="13">
        <f>N40*VLOOKUP('Données projet'!$B$9,Paramètres!$A$1:$I$89,3,0)*VLOOKUP('Données projet'!$B$9,Paramètres!$A$1:$I$89,5,0)</f>
        <v>120.70031999999998</v>
      </c>
      <c r="P40" s="13">
        <f t="shared" si="33"/>
        <v>31.838282075030818</v>
      </c>
      <c r="Q40" s="20">
        <f t="shared" si="53"/>
        <v>265.67139861401193</v>
      </c>
      <c r="R40" s="59">
        <f t="shared" si="0"/>
        <v>559.00473194734525</v>
      </c>
      <c r="S40" s="59">
        <f ca="1">AVERAGE(OFFSET($R$3,0,0,'Données projet'!$E$9+1,1))-AVERAGE(OFFSET($H$3,0,0,'Données projet'!$E$9+1,1))</f>
        <v>237.22177246688199</v>
      </c>
      <c r="T40" s="59">
        <f t="shared" si="34"/>
        <v>149.27472147904302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2.5580227790511509</v>
      </c>
      <c r="AB40" s="21">
        <f>EXP(-LN(2)/2)*AB39+(1-EXP(-LN(2)/2))/(LN(2)/2)*V40*Y40*VLOOKUP('Données projet'!$B$9,Paramètres!$A$1:$I$89,3,0)*0.475*44/12</f>
        <v>0.54706622987359366</v>
      </c>
      <c r="AC40" s="22">
        <f t="shared" si="3"/>
        <v>3.1050890089247445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8.1999999999999993</v>
      </c>
      <c r="AI40" s="13">
        <f>IF('Données projet'!$A$62&gt;35,AI39+AH40-AQ39,IF(A40&lt;'Données projet'!$A$62,$AF$205^A40,IF(A40='Données projet'!$A$62,'Données projet'!$B$62,AI39+AH40-AQ39)))</f>
        <v>133.39999999999998</v>
      </c>
      <c r="AJ40" s="13">
        <f>AI40*VLOOKUP('Données projet'!$B$10,Paramètres!$A$1:$I$89,3,0)*VLOOKUP('Données projet'!$B$10,Paramètres!$A$1:$I$89,5,0)</f>
        <v>135.26759999999999</v>
      </c>
      <c r="AK40" s="13">
        <f t="shared" si="35"/>
        <v>35.210718959789133</v>
      </c>
      <c r="AL40" s="20">
        <f t="shared" si="4"/>
        <v>296.91640552163273</v>
      </c>
      <c r="AM40" s="59">
        <f t="shared" si="5"/>
        <v>590.24973885496604</v>
      </c>
      <c r="AN40" s="59">
        <f ca="1">AVERAGE(OFFSET($AM$3,0,0,'Données projet'!$E$10+1,1))-AVERAGE(OFFSET($H$3,0,0,'Données projet'!$E$10+1,1))</f>
        <v>279.20364724206644</v>
      </c>
      <c r="AO40" s="59">
        <f t="shared" si="36"/>
        <v>173.99850582760712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2.8667496661780136</v>
      </c>
      <c r="AW40" s="21">
        <f>EXP(-LN(2)/2)*AW39+(1-EXP(-LN(2)/2))/(LN(2)/2)*AQ40*AT40*VLOOKUP('Données projet'!$B$10,Paramètres!$A$1:$I$89,3,0)*0.475*44/12</f>
        <v>0.61309146451351004</v>
      </c>
      <c r="AX40" s="21">
        <f t="shared" si="6"/>
        <v>3.4798411306915238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10.000000000000004</v>
      </c>
      <c r="BD40" s="12">
        <f>IF('Données projet'!$A$88&gt;35,BD39+BC40-BL39,IF(A40&lt;'Données projet'!$A$88,$BA$205^A40,IF(A40='Données projet'!$A$88,'Données projet'!$B$88,BD39+BC40-BL39)))</f>
        <v>261.59999999999991</v>
      </c>
      <c r="BE40" s="13">
        <f>BD40*VLOOKUP('Données projet'!$B$11,Paramètres!$A$1:$I$89,3,0)*VLOOKUP('Données projet'!$B$11,Paramètres!$A$1:$I$89,5,0)</f>
        <v>122.42879999999995</v>
      </c>
      <c r="BF40" s="13">
        <f t="shared" si="37"/>
        <v>32.240814688958388</v>
      </c>
      <c r="BG40" s="20">
        <f t="shared" si="7"/>
        <v>269.38291224993577</v>
      </c>
      <c r="BH40" s="59">
        <f t="shared" si="8"/>
        <v>562.71624558326903</v>
      </c>
      <c r="BI40" s="59">
        <f ca="1">AVERAGE(OFFSET($BH$3,0,0,'Données projet'!$E$11+1,1))-AVERAGE(OFFSET($H$3,0,0,'Données projet'!$E$11+1,1))</f>
        <v>215.23235148064941</v>
      </c>
      <c r="BJ40" s="59">
        <f t="shared" si="38"/>
        <v>184.07239726900434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2.7288117791626449</v>
      </c>
      <c r="BQ40" s="21">
        <f>EXP(-LN(2)/25)*BQ39+(1-EXP(-LN(2)/25))/(LN(2)/25)*Calculateur!BL40*Calculateur!BN40*VLOOKUP('Données projet'!$B$11,Paramètres!$A$1:$I$89,3,0)*0.475*44/12</f>
        <v>6.4696898784144414</v>
      </c>
      <c r="BR40" s="21">
        <f>EXP(-LN(2)/2)*BR39+(1-EXP(-LN(2)/2))/(LN(2)/2)*BL40*BO40*VLOOKUP('Données projet'!$B$11,Paramètres!$A$1:$I$89,3,0)*0.475*44/12</f>
        <v>0.86904983288002213</v>
      </c>
      <c r="BS40" s="22">
        <f t="shared" si="9"/>
        <v>10.067551490457108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8.1999999999999993</v>
      </c>
      <c r="BY40" s="12">
        <f>IF('Données projet'!$A$114&gt;35,BY39+BX40-CG39,IF(A40&lt;'Données projet'!$A$114,$BV$205^A40,IF(A40='Données projet'!$A$114,'Données projet'!$B$114,BY39+BX40-CG39)))</f>
        <v>133.39999999999998</v>
      </c>
      <c r="BZ40" s="13">
        <f>BY40*VLOOKUP('Données projet'!$B$12,Paramètres!$A$1:$I$89,3,0)*VLOOKUP('Données projet'!$B$12,Paramètres!$A$1:$I$89,5,0)</f>
        <v>143.59175999999997</v>
      </c>
      <c r="CA40" s="13">
        <f t="shared" si="39"/>
        <v>37.118610253808193</v>
      </c>
      <c r="CB40" s="20">
        <f t="shared" si="10"/>
        <v>314.7372281920492</v>
      </c>
      <c r="CC40" s="59">
        <f t="shared" si="11"/>
        <v>608.07056152538257</v>
      </c>
      <c r="CD40" s="59">
        <f ca="1">AVERAGE(OFFSET($CC$3,0,0,'Données projet'!$E$12+1,1))-AVERAGE(OFFSET($H$3,0,0,'Données projet'!$E$12+1,1))</f>
        <v>303.1504619632214</v>
      </c>
      <c r="CE40" s="59">
        <f t="shared" si="40"/>
        <v>188.09929616366503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3.0431650302505067</v>
      </c>
      <c r="CM40" s="21">
        <f>EXP(-LN(2)/2)*CM39+(1-EXP(-LN(2)/2))/(LN(2)/2)*CG40*CJ40*VLOOKUP('Données projet'!$B$12,Paramètres!$A$1:$I$89,3,0)*0.475*44/12</f>
        <v>0.65082017002203407</v>
      </c>
      <c r="CN40" s="22">
        <f t="shared" si="12"/>
        <v>3.6939852002725408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10.199999999999999</v>
      </c>
      <c r="CT40" s="12">
        <f>IF('Données projet'!$A$140&gt;35,CT39+CS40-DB39,IF(A40&lt;'Données projet'!$A$140,$CQ$205^A40,IF(A40='Données projet'!$A$140,'Données projet'!$B$140,CT39+CS40-DB39)))</f>
        <v>189.39999999999989</v>
      </c>
      <c r="CU40" s="17">
        <f>CT40*VLOOKUP('Données projet'!$B$13,Paramètres!$A$1:$I$89,3,0)*VLOOKUP('Données projet'!$B$13,Paramètres!$A$1:$I$89,5,0)</f>
        <v>127.04951999999993</v>
      </c>
      <c r="CV40" s="13">
        <f t="shared" si="41"/>
        <v>33.313681779925446</v>
      </c>
      <c r="CW40" s="20">
        <f t="shared" si="13"/>
        <v>279.29924310003668</v>
      </c>
      <c r="CX40" s="59">
        <f t="shared" si="14"/>
        <v>572.63257643336999</v>
      </c>
      <c r="CY40" s="59">
        <f ca="1">AVERAGE(OFFSET($CX$3,0,0,'Données projet'!$E$13+1,1))-AVERAGE(OFFSET($H$3,0,0,'Données projet'!$E$13+1,1))</f>
        <v>156.63226020379989</v>
      </c>
      <c r="CZ40" s="59">
        <f t="shared" si="42"/>
        <v>196.0481096619543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7.1405016312196112</v>
      </c>
      <c r="DH40" s="21">
        <f>EXP(-LN(2)/2)*DH39+(1-EXP(-LN(2)/2))/(LN(2)/2)*DB40*DE40*VLOOKUP('Données projet'!$B$13,Paramètres!$A$1:$I$89,3,0)*0.475*44/12</f>
        <v>0.80198909163525423</v>
      </c>
      <c r="DI40" s="22">
        <f t="shared" si="15"/>
        <v>7.9424907228548651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-8.5265128291212022E-14</v>
      </c>
      <c r="DP40" s="17">
        <f>DO40*VLOOKUP('Données projet'!$B$14,Paramètres!$A$1:$I$89,3,0)*VLOOKUP('Données projet'!$B$14,Paramètres!$A$1:$I$89,5,0)</f>
        <v>-7.7147888077888636E-14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225.28075317732998</v>
      </c>
      <c r="DU40" s="59">
        <f t="shared" si="44"/>
        <v>358.43407531256207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1.9531011560792626</v>
      </c>
      <c r="EB40" s="21">
        <f>EXP(-LN(2)/25)*EB39+(1-EXP(-LN(2)/25))/(LN(2)/25)*Calculateur!DW40*Calculateur!DY40*VLOOKUP('Données projet'!$B$14,Paramètres!$A$1:$I$89,3,0)*0.475*44/12</f>
        <v>6.8127915760266458</v>
      </c>
      <c r="EC40" s="21">
        <f>EXP(-LN(2)/2)*EC39+(1-EXP(-LN(2)/2))/(LN(2)/2)*DW40*DZ40*VLOOKUP('Données projet'!$B$14,Paramètres!$A$1:$I$89,3,0)*0.475*44/12</f>
        <v>0.39014803283694438</v>
      </c>
      <c r="ED40" s="22">
        <f t="shared" si="18"/>
        <v>9.1560407649428512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22</v>
      </c>
      <c r="EJ40" s="12">
        <f>IF('Données projet'!$A$192&gt;35,EJ39+EI40-ER39,IF(A40&lt;'Données projet'!$A$192,$EG$205^A40,IF(A40='Données projet'!$A$192,'Données projet'!$B$192,EJ39+EI40-ER39)))</f>
        <v>362.99999999999989</v>
      </c>
      <c r="EK40" s="17">
        <f>EJ40*VLOOKUP('Données projet'!$B$15,Paramètres!$A$1:$I$89,3,0)*VLOOKUP('Données projet'!$B$15,Paramètres!$A$1:$I$89,5,0)</f>
        <v>202.91699999999994</v>
      </c>
      <c r="EL40" s="13">
        <f t="shared" si="45"/>
        <v>50.384694798587844</v>
      </c>
      <c r="EM40" s="20">
        <f t="shared" si="19"/>
        <v>441.16711844087371</v>
      </c>
      <c r="EN40" s="59">
        <f t="shared" si="20"/>
        <v>734.50045177420702</v>
      </c>
      <c r="EO40" s="59">
        <f ca="1">AVERAGE(OFFSET($EN$3,0,0,'Données projet'!$E$15+1,1))-AVERAGE(OFFSET($H$3,0,0,'Données projet'!$E$15+1,1))</f>
        <v>326.31232746914907</v>
      </c>
      <c r="EP40" s="59">
        <f t="shared" si="46"/>
        <v>330.17137761430297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3.9766271872571117</v>
      </c>
      <c r="EW40" s="21">
        <f>EXP(-LN(2)/25)*EW39+(1-EXP(-LN(2)/25))/(LN(2)/25)*Calculateur!ER40*Calculateur!ET40*VLOOKUP('Données projet'!$B$15,Paramètres!$A$1:$I$89,3,0)*0.475*44/12</f>
        <v>24.850169158445183</v>
      </c>
      <c r="EX40" s="21">
        <f>EXP(-LN(2)/2)*EX39+(1-EXP(-LN(2)/2))/(LN(2)/2)*ER40*EU40*VLOOKUP('Données projet'!$B$15,Paramètres!$A$1:$I$89,3,0)*0.475*44/12</f>
        <v>2.8745736531353643</v>
      </c>
      <c r="EY40" s="22">
        <f t="shared" si="21"/>
        <v>31.701369998837659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15.1</v>
      </c>
      <c r="FE40" s="12">
        <f>IF('Données projet'!$A$218&gt;35,FE39+FD40-FM39,IF(A40&lt;'Données projet'!$A$218,$FB$205^A40,IF(A40='Données projet'!$A$218,'Données projet'!$B$218,FE39+FD40-FM39)))</f>
        <v>284.70000000000005</v>
      </c>
      <c r="FF40" s="17">
        <f>FE40*VLOOKUP('Données projet'!$B$16,Paramètres!$A$1:$I$89,3,0)*VLOOKUP('Données projet'!$B$16,Paramètres!$A$1:$I$89,5,0)</f>
        <v>177.65280000000001</v>
      </c>
      <c r="FG40" s="13">
        <f t="shared" si="47"/>
        <v>44.799579155749747</v>
      </c>
      <c r="FH40" s="20">
        <f t="shared" si="22"/>
        <v>387.43789369626415</v>
      </c>
      <c r="FI40" s="59">
        <f t="shared" si="23"/>
        <v>680.77122702959741</v>
      </c>
      <c r="FJ40" s="59">
        <f ca="1">AVERAGE(OFFSET($FI$3,0,0,'Données projet'!$E$16+1,1))-AVERAGE(OFFSET($H$3,0,0,'Données projet'!$E$16+1,1))</f>
        <v>255.41017495879987</v>
      </c>
      <c r="FK40" s="59">
        <f t="shared" si="48"/>
        <v>297.50513563712764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7.2638602321144674</v>
      </c>
      <c r="FR40" s="21">
        <f>EXP(-LN(2)/25)*FR39+(1-EXP(-LN(2)/25))/(LN(2)/25)*Calculateur!FM40*Calculateur!FO40*VLOOKUP('Données projet'!$B$16,Paramètres!$A$1:$I$89,3,0)*0.475*44/12</f>
        <v>22.953372698275796</v>
      </c>
      <c r="FS40" s="21">
        <f>EXP(-LN(2)/2)*FS39+(1-EXP(-LN(2)/2))/(LN(2)/2)*FM40*FP40*VLOOKUP('Données projet'!$B$16,Paramètres!$A$1:$I$89,3,0)*0.475*44/12</f>
        <v>2.1567809652424339</v>
      </c>
      <c r="FT40" s="22">
        <f t="shared" si="24"/>
        <v>32.3740138956327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12.4</v>
      </c>
      <c r="FZ40" s="12">
        <f>IF('Données projet'!$A$244&gt;35,FZ39+FY40-GH39,IF(A40&lt;'Données projet'!$A$244,$FW$205^A40,IF(A40='Données projet'!$A$244,'Données projet'!$B$244,FZ39+FY40-GH39)))</f>
        <v>259.80000000000013</v>
      </c>
      <c r="GA40" s="17">
        <f>FZ40*VLOOKUP('Données projet'!$B$17,Paramètres!$A$1:$I$89,3,0)*VLOOKUP('Données projet'!$B$17,Paramètres!$A$1:$I$89,5,0)</f>
        <v>155.36040000000008</v>
      </c>
      <c r="GB40" s="13">
        <f t="shared" si="49"/>
        <v>39.79425523270892</v>
      </c>
      <c r="GC40" s="20">
        <f t="shared" si="25"/>
        <v>339.89435786363481</v>
      </c>
      <c r="GD40" s="59">
        <f t="shared" si="26"/>
        <v>633.22769119696818</v>
      </c>
      <c r="GE40" s="59">
        <f ca="1">AVERAGE(OFFSET($GD$3,0,0,'Données projet'!$E$17+1,1))-AVERAGE(OFFSET($H$3,0,0,'Données projet'!$E$17+1,1))</f>
        <v>259.30247982593914</v>
      </c>
      <c r="GF40" s="59">
        <f t="shared" si="50"/>
        <v>275.24740346220779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14.851827547422511</v>
      </c>
      <c r="GN40" s="21">
        <f>EXP(-LN(2)/2)*GN39+(1-EXP(-LN(2)/2))/(LN(2)/2)*GH40*GK40*VLOOKUP('Données projet'!$B$17,Paramètres!$A$1:$I$89,3,0)*0.475*44/12</f>
        <v>2.5350193691519172</v>
      </c>
      <c r="GO40" s="21">
        <f t="shared" si="27"/>
        <v>17.386846916574427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10.199999999999999</v>
      </c>
      <c r="GU40" s="12">
        <f>IF('Données projet'!$A$270&gt;35,GU39+GT40-HC39,IF(A40&lt;'Données projet'!$A$270,$GR$205^A40,IF(A40='Données projet'!$A$270,'Données projet'!$B$270,GU39+GT40-HC39)))</f>
        <v>189.39999999999989</v>
      </c>
      <c r="GV40" s="17">
        <f>GU40*VLOOKUP('Données projet'!$B$18,Paramètres!$A$1:$I$89,3,0)*VLOOKUP('Données projet'!$B$18,Paramètres!$A$1:$I$89,5,0)</f>
        <v>150.68663999999993</v>
      </c>
      <c r="GW40" s="13">
        <f t="shared" si="51"/>
        <v>38.734585523437175</v>
      </c>
      <c r="GX40" s="20">
        <f t="shared" si="28"/>
        <v>329.90863445331962</v>
      </c>
      <c r="GY40" s="59">
        <f t="shared" si="29"/>
        <v>623.24196778665294</v>
      </c>
      <c r="GZ40" s="59">
        <f ca="1">AVERAGE(OFFSET($GY$3,0,0,'Données projet'!$E$18+1,1))-AVERAGE(OFFSET($H$3,0,0,'Données projet'!$E$18+1,1))</f>
        <v>199.58763537752952</v>
      </c>
      <c r="HA40" s="59">
        <f t="shared" si="52"/>
        <v>242.62852778451929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8.4689670509813979</v>
      </c>
      <c r="HI40" s="21">
        <f>EXP(-LN(2)/2)*HI39+(1-EXP(-LN(2)/2))/(LN(2)/2)*HC40*HF40*VLOOKUP('Données projet'!$B$18,Paramètres!$A$1:$I$89,3,0)*0.475*44/12</f>
        <v>0.95119636449762712</v>
      </c>
      <c r="HJ40" s="22">
        <f t="shared" si="30"/>
        <v>9.4201634154790241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141.59999999999997</v>
      </c>
      <c r="O41" s="13">
        <f>N41*VLOOKUP('Données projet'!$B$9,Paramètres!$A$1:$I$89,3,0)*VLOOKUP('Données projet'!$B$9,Paramètres!$A$1:$I$89,5,0)</f>
        <v>128.11967999999996</v>
      </c>
      <c r="P41" s="13">
        <f t="shared" si="33"/>
        <v>33.561504850994297</v>
      </c>
      <c r="Q41" s="20">
        <f t="shared" si="53"/>
        <v>281.5947302821483</v>
      </c>
      <c r="R41" s="59">
        <f t="shared" si="0"/>
        <v>574.92806361548162</v>
      </c>
      <c r="S41" s="59">
        <f ca="1">AVERAGE(OFFSET($R$3,0,0,'Données projet'!$E$9+1,1))-AVERAGE(OFFSET($H$3,0,0,'Données projet'!$E$9+1,1))</f>
        <v>237.22177246688199</v>
      </c>
      <c r="T41" s="59">
        <f t="shared" si="34"/>
        <v>149.27472147904302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2.4880735116374257</v>
      </c>
      <c r="AB41" s="21">
        <f>EXP(-LN(2)/2)*AB40+(1-EXP(-LN(2)/2))/(LN(2)/2)*V41*Y41*VLOOKUP('Données projet'!$B$9,Paramètres!$A$1:$I$89,3,0)*0.475*44/12</f>
        <v>0.3868342409017767</v>
      </c>
      <c r="AC41" s="22">
        <f t="shared" si="3"/>
        <v>2.8749077525392024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8.1999999999999993</v>
      </c>
      <c r="AI41" s="13">
        <f>IF('Données projet'!$A$62&gt;35,AI40+AH41-AQ40,IF(A41&lt;'Données projet'!$A$62,$AF$205^A41,IF(A41='Données projet'!$A$62,'Données projet'!$B$62,AI40+AH41-AQ40)))</f>
        <v>141.59999999999997</v>
      </c>
      <c r="AJ41" s="13">
        <f>AI41*VLOOKUP('Données projet'!$B$10,Paramètres!$A$1:$I$89,3,0)*VLOOKUP('Données projet'!$B$10,Paramètres!$A$1:$I$89,5,0)</f>
        <v>143.58239999999998</v>
      </c>
      <c r="AK41" s="13">
        <f t="shared" si="35"/>
        <v>37.116472314400653</v>
      </c>
      <c r="AL41" s="20">
        <f t="shared" si="4"/>
        <v>314.71720261424775</v>
      </c>
      <c r="AM41" s="59">
        <f t="shared" si="5"/>
        <v>608.05053594758101</v>
      </c>
      <c r="AN41" s="59">
        <f ca="1">AVERAGE(OFFSET($AM$3,0,0,'Données projet'!$E$10+1,1))-AVERAGE(OFFSET($H$3,0,0,'Données projet'!$E$10+1,1))</f>
        <v>279.20364724206644</v>
      </c>
      <c r="AO41" s="59">
        <f t="shared" si="36"/>
        <v>173.99850582760712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2.7883582458005631</v>
      </c>
      <c r="AW41" s="21">
        <f>EXP(-LN(2)/2)*AW40+(1-EXP(-LN(2)/2))/(LN(2)/2)*AQ41*AT41*VLOOKUP('Données projet'!$B$10,Paramètres!$A$1:$I$89,3,0)*0.475*44/12</f>
        <v>0.43352113204509451</v>
      </c>
      <c r="AX41" s="21">
        <f t="shared" si="6"/>
        <v>3.2218793778456578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10.000000000000004</v>
      </c>
      <c r="BD41" s="12">
        <f>IF('Données projet'!$A$88&gt;35,BD40+BC41-BL40,IF(A41&lt;'Données projet'!$A$88,$BA$205^A41,IF(A41='Données projet'!$A$88,'Données projet'!$B$88,BD40+BC41-BL40)))</f>
        <v>271.59999999999991</v>
      </c>
      <c r="BE41" s="13">
        <f>BD41*VLOOKUP('Données projet'!$B$11,Paramètres!$A$1:$I$89,3,0)*VLOOKUP('Données projet'!$B$11,Paramètres!$A$1:$I$89,5,0)</f>
        <v>127.10879999999996</v>
      </c>
      <c r="BF41" s="13">
        <f t="shared" si="37"/>
        <v>33.32741592766736</v>
      </c>
      <c r="BG41" s="20">
        <f t="shared" si="7"/>
        <v>279.4264094073539</v>
      </c>
      <c r="BH41" s="59">
        <f t="shared" si="8"/>
        <v>572.75974274068722</v>
      </c>
      <c r="BI41" s="59">
        <f ca="1">AVERAGE(OFFSET($BH$3,0,0,'Données projet'!$E$11+1,1))-AVERAGE(OFFSET($H$3,0,0,'Données projet'!$E$11+1,1))</f>
        <v>215.23235148064941</v>
      </c>
      <c r="BJ41" s="59">
        <f t="shared" si="38"/>
        <v>184.07239726900434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2.6753014445841039</v>
      </c>
      <c r="BQ41" s="21">
        <f>EXP(-LN(2)/25)*BQ40+(1-EXP(-LN(2)/25))/(LN(2)/25)*Calculateur!BL41*Calculateur!BN41*VLOOKUP('Données projet'!$B$11,Paramètres!$A$1:$I$89,3,0)*0.475*44/12</f>
        <v>6.2927758684629946</v>
      </c>
      <c r="BR41" s="21">
        <f>EXP(-LN(2)/2)*BR40+(1-EXP(-LN(2)/2))/(LN(2)/2)*BL41*BO41*VLOOKUP('Données projet'!$B$11,Paramètres!$A$1:$I$89,3,0)*0.475*44/12</f>
        <v>0.61451103001849949</v>
      </c>
      <c r="BS41" s="22">
        <f t="shared" si="9"/>
        <v>9.5825883430655985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8.1999999999999993</v>
      </c>
      <c r="BY41" s="12">
        <f>IF('Données projet'!$A$114&gt;35,BY40+BX41-CG40,IF(A41&lt;'Données projet'!$A$114,$BV$205^A41,IF(A41='Données projet'!$A$114,'Données projet'!$B$114,BY40+BX41-CG40)))</f>
        <v>141.59999999999997</v>
      </c>
      <c r="BZ41" s="13">
        <f>BY41*VLOOKUP('Données projet'!$B$12,Paramètres!$A$1:$I$89,3,0)*VLOOKUP('Données projet'!$B$12,Paramètres!$A$1:$I$89,5,0)</f>
        <v>152.41823999999994</v>
      </c>
      <c r="CA41" s="13">
        <f t="shared" si="39"/>
        <v>39.127626772059259</v>
      </c>
      <c r="CB41" s="20">
        <f t="shared" si="10"/>
        <v>333.60905129466971</v>
      </c>
      <c r="CC41" s="59">
        <f t="shared" si="11"/>
        <v>626.94238462800308</v>
      </c>
      <c r="CD41" s="59">
        <f ca="1">AVERAGE(OFFSET($CC$3,0,0,'Données projet'!$E$12+1,1))-AVERAGE(OFFSET($H$3,0,0,'Données projet'!$E$12+1,1))</f>
        <v>303.1504619632214</v>
      </c>
      <c r="CE41" s="59">
        <f t="shared" si="40"/>
        <v>188.09929616366503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2.9599495224652128</v>
      </c>
      <c r="CM41" s="21">
        <f>EXP(-LN(2)/2)*CM40+(1-EXP(-LN(2)/2))/(LN(2)/2)*CG41*CJ41*VLOOKUP('Données projet'!$B$12,Paramètres!$A$1:$I$89,3,0)*0.475*44/12</f>
        <v>0.46019935555556213</v>
      </c>
      <c r="CN41" s="22">
        <f t="shared" si="12"/>
        <v>3.4201488780207749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10.199999999999999</v>
      </c>
      <c r="CT41" s="12">
        <f>IF('Données projet'!$A$140&gt;35,CT40+CS41-DB40,IF(A41&lt;'Données projet'!$A$140,$CQ$205^A41,IF(A41='Données projet'!$A$140,'Données projet'!$B$140,CT40+CS41-DB40)))</f>
        <v>199.59999999999988</v>
      </c>
      <c r="CU41" s="17">
        <f>CT41*VLOOKUP('Données projet'!$B$13,Paramètres!$A$1:$I$89,3,0)*VLOOKUP('Données projet'!$B$13,Paramètres!$A$1:$I$89,5,0)</f>
        <v>133.89167999999992</v>
      </c>
      <c r="CV41" s="13">
        <f t="shared" si="41"/>
        <v>34.894062754078419</v>
      </c>
      <c r="CW41" s="20">
        <f t="shared" si="13"/>
        <v>293.96850196335311</v>
      </c>
      <c r="CX41" s="59">
        <f t="shared" si="14"/>
        <v>587.30183529668648</v>
      </c>
      <c r="CY41" s="59">
        <f ca="1">AVERAGE(OFFSET($CX$3,0,0,'Données projet'!$E$13+1,1))-AVERAGE(OFFSET($H$3,0,0,'Données projet'!$E$13+1,1))</f>
        <v>156.63226020379989</v>
      </c>
      <c r="CZ41" s="59">
        <f t="shared" si="42"/>
        <v>196.0481096619543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6.9452442386112496</v>
      </c>
      <c r="DH41" s="21">
        <f>EXP(-LN(2)/2)*DH40+(1-EXP(-LN(2)/2))/(LN(2)/2)*DB41*DE41*VLOOKUP('Données projet'!$B$13,Paramètres!$A$1:$I$89,3,0)*0.475*44/12</f>
        <v>0.56709192513292772</v>
      </c>
      <c r="DI41" s="22">
        <f t="shared" si="15"/>
        <v>7.5123361637441777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-8.5265128291212022E-14</v>
      </c>
      <c r="DP41" s="17">
        <f>DO41*VLOOKUP('Données projet'!$B$14,Paramètres!$A$1:$I$89,3,0)*VLOOKUP('Données projet'!$B$14,Paramètres!$A$1:$I$89,5,0)</f>
        <v>-7.7147888077888636E-14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225.28075317732998</v>
      </c>
      <c r="DU41" s="59">
        <f t="shared" si="44"/>
        <v>358.43407531256207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1.914802033682625</v>
      </c>
      <c r="EB41" s="21">
        <f>EXP(-LN(2)/25)*EB40+(1-EXP(-LN(2)/25))/(LN(2)/25)*Calculateur!DW41*Calculateur!DY41*VLOOKUP('Données projet'!$B$14,Paramètres!$A$1:$I$89,3,0)*0.475*44/12</f>
        <v>6.6264954321110592</v>
      </c>
      <c r="EC41" s="21">
        <f>EXP(-LN(2)/2)*EC40+(1-EXP(-LN(2)/2))/(LN(2)/2)*DW41*DZ41*VLOOKUP('Données projet'!$B$14,Paramètres!$A$1:$I$89,3,0)*0.475*44/12</f>
        <v>0.27587631968559523</v>
      </c>
      <c r="ED41" s="22">
        <f t="shared" si="18"/>
        <v>8.8171737854792802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22</v>
      </c>
      <c r="EJ41" s="12">
        <f>IF('Données projet'!$A$192&gt;35,EJ40+EI41-ER40,IF(A41&lt;'Données projet'!$A$192,$EG$205^A41,IF(A41='Données projet'!$A$192,'Données projet'!$B$192,EJ40+EI41-ER40)))</f>
        <v>384.99999999999989</v>
      </c>
      <c r="EK41" s="17">
        <f>EJ41*VLOOKUP('Données projet'!$B$15,Paramètres!$A$1:$I$89,3,0)*VLOOKUP('Données projet'!$B$15,Paramètres!$A$1:$I$89,5,0)</f>
        <v>215.21499999999995</v>
      </c>
      <c r="EL41" s="13">
        <f t="shared" si="45"/>
        <v>53.073562353518611</v>
      </c>
      <c r="EM41" s="20">
        <f t="shared" si="19"/>
        <v>467.26924609904478</v>
      </c>
      <c r="EN41" s="59">
        <f t="shared" si="20"/>
        <v>760.60257943237809</v>
      </c>
      <c r="EO41" s="59">
        <f ca="1">AVERAGE(OFFSET($EN$3,0,0,'Données projet'!$E$15+1,1))-AVERAGE(OFFSET($H$3,0,0,'Données projet'!$E$15+1,1))</f>
        <v>326.31232746914907</v>
      </c>
      <c r="EP41" s="59">
        <f t="shared" si="46"/>
        <v>330.17137761430297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3.8986479536180854</v>
      </c>
      <c r="EW41" s="21">
        <f>EXP(-LN(2)/25)*EW40+(1-EXP(-LN(2)/25))/(LN(2)/25)*Calculateur!ER41*Calculateur!ET41*VLOOKUP('Données projet'!$B$15,Paramètres!$A$1:$I$89,3,0)*0.475*44/12</f>
        <v>24.1706399759939</v>
      </c>
      <c r="EX41" s="21">
        <f>EXP(-LN(2)/2)*EX40+(1-EXP(-LN(2)/2))/(LN(2)/2)*ER41*EU41*VLOOKUP('Données projet'!$B$15,Paramètres!$A$1:$I$89,3,0)*0.475*44/12</f>
        <v>2.0326305231522026</v>
      </c>
      <c r="EY41" s="22">
        <f t="shared" si="21"/>
        <v>30.101918452764188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15.1</v>
      </c>
      <c r="FE41" s="12">
        <f>IF('Données projet'!$A$218&gt;35,FE40+FD41-FM40,IF(A41&lt;'Données projet'!$A$218,$FB$205^A41,IF(A41='Données projet'!$A$218,'Données projet'!$B$218,FE40+FD41-FM40)))</f>
        <v>299.80000000000007</v>
      </c>
      <c r="FF41" s="17">
        <f>FE41*VLOOKUP('Données projet'!$B$16,Paramètres!$A$1:$I$89,3,0)*VLOOKUP('Données projet'!$B$16,Paramètres!$A$1:$I$89,5,0)</f>
        <v>187.07520000000005</v>
      </c>
      <c r="FG41" s="13">
        <f t="shared" si="47"/>
        <v>46.892738426785456</v>
      </c>
      <c r="FH41" s="20">
        <f t="shared" si="22"/>
        <v>407.49415942665138</v>
      </c>
      <c r="FI41" s="59">
        <f t="shared" si="23"/>
        <v>700.82749275998469</v>
      </c>
      <c r="FJ41" s="59">
        <f ca="1">AVERAGE(OFFSET($FI$3,0,0,'Données projet'!$E$16+1,1))-AVERAGE(OFFSET($H$3,0,0,'Données projet'!$E$16+1,1))</f>
        <v>255.41017495879987</v>
      </c>
      <c r="FK41" s="59">
        <f t="shared" si="48"/>
        <v>297.50513563712764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7.1214203634799667</v>
      </c>
      <c r="FR41" s="21">
        <f>EXP(-LN(2)/25)*FR40+(1-EXP(-LN(2)/25))/(LN(2)/25)*Calculateur!FM41*Calculateur!FO41*VLOOKUP('Données projet'!$B$16,Paramètres!$A$1:$I$89,3,0)*0.475*44/12</f>
        <v>22.325711514776035</v>
      </c>
      <c r="FS41" s="21">
        <f>EXP(-LN(2)/2)*FS40+(1-EXP(-LN(2)/2))/(LN(2)/2)*FM41*FP41*VLOOKUP('Données projet'!$B$16,Paramètres!$A$1:$I$89,3,0)*0.475*44/12</f>
        <v>1.5250744460569925</v>
      </c>
      <c r="FT41" s="22">
        <f t="shared" si="24"/>
        <v>30.972206324312996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12.4</v>
      </c>
      <c r="FZ41" s="12">
        <f>IF('Données projet'!$A$244&gt;35,FZ40+FY41-GH40,IF(A41&lt;'Données projet'!$A$244,$FW$205^A41,IF(A41='Données projet'!$A$244,'Données projet'!$B$244,FZ40+FY41-GH40)))</f>
        <v>272.2000000000001</v>
      </c>
      <c r="GA41" s="17">
        <f>FZ41*VLOOKUP('Données projet'!$B$17,Paramètres!$A$1:$I$89,3,0)*VLOOKUP('Données projet'!$B$17,Paramètres!$A$1:$I$89,5,0)</f>
        <v>162.77560000000005</v>
      </c>
      <c r="GB41" s="13">
        <f t="shared" si="49"/>
        <v>41.467931707956311</v>
      </c>
      <c r="GC41" s="20">
        <f t="shared" si="25"/>
        <v>355.72415105802401</v>
      </c>
      <c r="GD41" s="59">
        <f t="shared" si="26"/>
        <v>649.05748439135732</v>
      </c>
      <c r="GE41" s="59">
        <f ca="1">AVERAGE(OFFSET($GD$3,0,0,'Données projet'!$E$17+1,1))-AVERAGE(OFFSET($H$3,0,0,'Données projet'!$E$17+1,1))</f>
        <v>259.30247982593914</v>
      </c>
      <c r="GF41" s="59">
        <f t="shared" si="50"/>
        <v>275.24740346220779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14.445703542114575</v>
      </c>
      <c r="GN41" s="21">
        <f>EXP(-LN(2)/2)*GN40+(1-EXP(-LN(2)/2))/(LN(2)/2)*GH41*GK41*VLOOKUP('Données projet'!$B$17,Paramètres!$A$1:$I$89,3,0)*0.475*44/12</f>
        <v>1.7925293863665646</v>
      </c>
      <c r="GO41" s="21">
        <f t="shared" si="27"/>
        <v>16.238232928481139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10.199999999999999</v>
      </c>
      <c r="GU41" s="12">
        <f>IF('Données projet'!$A$270&gt;35,GU40+GT41-HC40,IF(A41&lt;'Données projet'!$A$270,$GR$205^A41,IF(A41='Données projet'!$A$270,'Données projet'!$B$270,GU40+GT41-HC40)))</f>
        <v>199.59999999999988</v>
      </c>
      <c r="GV41" s="17">
        <f>GU41*VLOOKUP('Données projet'!$B$18,Paramètres!$A$1:$I$89,3,0)*VLOOKUP('Données projet'!$B$18,Paramètres!$A$1:$I$89,5,0)</f>
        <v>158.80175999999992</v>
      </c>
      <c r="GW41" s="13">
        <f t="shared" si="51"/>
        <v>40.572130902159856</v>
      </c>
      <c r="GX41" s="20">
        <f t="shared" si="28"/>
        <v>347.24285998792817</v>
      </c>
      <c r="GY41" s="59">
        <f t="shared" si="29"/>
        <v>640.57619332126148</v>
      </c>
      <c r="GZ41" s="59">
        <f ca="1">AVERAGE(OFFSET($GY$3,0,0,'Données projet'!$E$18+1,1))-AVERAGE(OFFSET($H$3,0,0,'Données projet'!$E$18+1,1))</f>
        <v>199.58763537752952</v>
      </c>
      <c r="HA41" s="59">
        <f t="shared" si="52"/>
        <v>242.62852778451929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8.2373827016086896</v>
      </c>
      <c r="HI41" s="21">
        <f>EXP(-LN(2)/2)*HI40+(1-EXP(-LN(2)/2))/(LN(2)/2)*HC41*HF41*VLOOKUP('Données projet'!$B$18,Paramètres!$A$1:$I$89,3,0)*0.475*44/12</f>
        <v>0.67259739957626319</v>
      </c>
      <c r="HJ41" s="22">
        <f t="shared" si="30"/>
        <v>8.9099801011849529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149.79999999999995</v>
      </c>
      <c r="O42" s="13">
        <f>N42*VLOOKUP('Données projet'!$B$9,Paramètres!$A$1:$I$89,3,0)*VLOOKUP('Données projet'!$B$9,Paramètres!$A$1:$I$89,5,0)</f>
        <v>135.53903999999997</v>
      </c>
      <c r="P42" s="13">
        <f t="shared" si="33"/>
        <v>35.273144164630104</v>
      </c>
      <c r="Q42" s="20">
        <f t="shared" si="53"/>
        <v>297.49788742006405</v>
      </c>
      <c r="R42" s="59">
        <f t="shared" si="0"/>
        <v>590.83122075339736</v>
      </c>
      <c r="S42" s="59">
        <f ca="1">AVERAGE(OFFSET($R$3,0,0,'Données projet'!$E$9+1,1))-AVERAGE(OFFSET($H$3,0,0,'Données projet'!$E$9+1,1))</f>
        <v>237.22177246688199</v>
      </c>
      <c r="T42" s="59">
        <f t="shared" si="34"/>
        <v>149.27472147904302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2.420037010619601</v>
      </c>
      <c r="AB42" s="21">
        <f>EXP(-LN(2)/2)*AB41+(1-EXP(-LN(2)/2))/(LN(2)/2)*V42*Y42*VLOOKUP('Données projet'!$B$9,Paramètres!$A$1:$I$89,3,0)*0.475*44/12</f>
        <v>0.27353311493679683</v>
      </c>
      <c r="AC42" s="22">
        <f t="shared" si="3"/>
        <v>2.693570125556398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8.1999999999999993</v>
      </c>
      <c r="AI42" s="13">
        <f>IF('Données projet'!$A$62&gt;35,AI41+AH42-AQ41,IF(A42&lt;'Données projet'!$A$62,$AF$205^A42,IF(A42='Données projet'!$A$62,'Données projet'!$B$62,AI41+AH42-AQ41)))</f>
        <v>149.79999999999995</v>
      </c>
      <c r="AJ42" s="13">
        <f>AI42*VLOOKUP('Données projet'!$B$10,Paramètres!$A$1:$I$89,3,0)*VLOOKUP('Données projet'!$B$10,Paramètres!$A$1:$I$89,5,0)</f>
        <v>151.89719999999997</v>
      </c>
      <c r="AK42" s="13">
        <f t="shared" si="35"/>
        <v>39.009415240495969</v>
      </c>
      <c r="AL42" s="20">
        <f t="shared" si="4"/>
        <v>332.49568821053043</v>
      </c>
      <c r="AM42" s="59">
        <f t="shared" si="5"/>
        <v>625.82902154386375</v>
      </c>
      <c r="AN42" s="59">
        <f ca="1">AVERAGE(OFFSET($AM$3,0,0,'Données projet'!$E$10+1,1))-AVERAGE(OFFSET($H$3,0,0,'Données projet'!$E$10+1,1))</f>
        <v>279.20364724206644</v>
      </c>
      <c r="AO42" s="59">
        <f t="shared" si="36"/>
        <v>173.99850582760712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2.7121104429357596</v>
      </c>
      <c r="AW42" s="21">
        <f>EXP(-LN(2)/2)*AW41+(1-EXP(-LN(2)/2))/(LN(2)/2)*AQ42*AT42*VLOOKUP('Données projet'!$B$10,Paramètres!$A$1:$I$89,3,0)*0.475*44/12</f>
        <v>0.30654573225675502</v>
      </c>
      <c r="AX42" s="21">
        <f t="shared" si="6"/>
        <v>3.0186561751925147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10.000000000000004</v>
      </c>
      <c r="BD42" s="12">
        <f>IF('Données projet'!$A$88&gt;35,BD41+BC42-BL41,IF(A42&lt;'Données projet'!$A$88,$BA$205^A42,IF(A42='Données projet'!$A$88,'Données projet'!$B$88,BD41+BC42-BL41)))</f>
        <v>281.59999999999991</v>
      </c>
      <c r="BE42" s="13">
        <f>BD42*VLOOKUP('Données projet'!$B$11,Paramètres!$A$1:$I$89,3,0)*VLOOKUP('Données projet'!$B$11,Paramètres!$A$1:$I$89,5,0)</f>
        <v>131.78879999999995</v>
      </c>
      <c r="BF42" s="13">
        <f t="shared" si="37"/>
        <v>34.409369159409614</v>
      </c>
      <c r="BG42" s="20">
        <f t="shared" si="7"/>
        <v>289.46181128597163</v>
      </c>
      <c r="BH42" s="59">
        <f t="shared" si="8"/>
        <v>582.79514461930489</v>
      </c>
      <c r="BI42" s="59">
        <f ca="1">AVERAGE(OFFSET($BH$3,0,0,'Données projet'!$E$11+1,1))-AVERAGE(OFFSET($H$3,0,0,'Données projet'!$E$11+1,1))</f>
        <v>215.23235148064941</v>
      </c>
      <c r="BJ42" s="59">
        <f t="shared" si="38"/>
        <v>184.07239726900434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2.6228404150285667</v>
      </c>
      <c r="BQ42" s="21">
        <f>EXP(-LN(2)/25)*BQ41+(1-EXP(-LN(2)/25))/(LN(2)/25)*Calculateur!BL42*Calculateur!BN42*VLOOKUP('Données projet'!$B$11,Paramètres!$A$1:$I$89,3,0)*0.475*44/12</f>
        <v>6.1206995814171732</v>
      </c>
      <c r="BR42" s="21">
        <f>EXP(-LN(2)/2)*BR41+(1-EXP(-LN(2)/2))/(LN(2)/2)*BL42*BO42*VLOOKUP('Données projet'!$B$11,Paramètres!$A$1:$I$89,3,0)*0.475*44/12</f>
        <v>0.43452491644001107</v>
      </c>
      <c r="BS42" s="22">
        <f t="shared" si="9"/>
        <v>9.1780649128857519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8.1999999999999993</v>
      </c>
      <c r="BY42" s="12">
        <f>IF('Données projet'!$A$114&gt;35,BY41+BX42-CG41,IF(A42&lt;'Données projet'!$A$114,$BV$205^A42,IF(A42='Données projet'!$A$114,'Données projet'!$B$114,BY41+BX42-CG41)))</f>
        <v>149.79999999999995</v>
      </c>
      <c r="BZ42" s="13">
        <f>BY42*VLOOKUP('Données projet'!$B$12,Paramètres!$A$1:$I$89,3,0)*VLOOKUP('Données projet'!$B$12,Paramètres!$A$1:$I$89,5,0)</f>
        <v>161.24471999999994</v>
      </c>
      <c r="CA42" s="13">
        <f t="shared" si="39"/>
        <v>41.123138729275411</v>
      </c>
      <c r="CB42" s="20">
        <f t="shared" si="10"/>
        <v>352.45735395348788</v>
      </c>
      <c r="CC42" s="59">
        <f t="shared" si="11"/>
        <v>645.79068728682114</v>
      </c>
      <c r="CD42" s="59">
        <f ca="1">AVERAGE(OFFSET($CC$3,0,0,'Données projet'!$E$12+1,1))-AVERAGE(OFFSET($H$3,0,0,'Données projet'!$E$12+1,1))</f>
        <v>303.1504619632214</v>
      </c>
      <c r="CE42" s="59">
        <f t="shared" si="40"/>
        <v>188.09929616366503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2.8790095471164214</v>
      </c>
      <c r="CM42" s="21">
        <f>EXP(-LN(2)/2)*CM41+(1-EXP(-LN(2)/2))/(LN(2)/2)*CG42*CJ42*VLOOKUP('Données projet'!$B$12,Paramètres!$A$1:$I$89,3,0)*0.475*44/12</f>
        <v>0.32541008501101709</v>
      </c>
      <c r="CN42" s="22">
        <f t="shared" si="12"/>
        <v>3.2044196321274385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10.199999999999999</v>
      </c>
      <c r="CT42" s="12">
        <f>IF('Données projet'!$A$140&gt;35,CT41+CS42-DB41,IF(A42&lt;'Données projet'!$A$140,$CQ$205^A42,IF(A42='Données projet'!$A$140,'Données projet'!$B$140,CT41+CS42-DB41)))</f>
        <v>209.79999999999987</v>
      </c>
      <c r="CU42" s="17">
        <f>CT42*VLOOKUP('Données projet'!$B$13,Paramètres!$A$1:$I$89,3,0)*VLOOKUP('Données projet'!$B$13,Paramètres!$A$1:$I$89,5,0)</f>
        <v>140.7338399999999</v>
      </c>
      <c r="CV42" s="13">
        <f t="shared" si="41"/>
        <v>36.465066748163046</v>
      </c>
      <c r="CW42" s="20">
        <f t="shared" si="13"/>
        <v>308.62142925305045</v>
      </c>
      <c r="CX42" s="59">
        <f t="shared" si="14"/>
        <v>601.95476258638382</v>
      </c>
      <c r="CY42" s="59">
        <f ca="1">AVERAGE(OFFSET($CX$3,0,0,'Données projet'!$E$13+1,1))-AVERAGE(OFFSET($H$3,0,0,'Données projet'!$E$13+1,1))</f>
        <v>156.63226020379989</v>
      </c>
      <c r="CZ42" s="59">
        <f t="shared" si="42"/>
        <v>196.0481096619543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6.7553261696719042</v>
      </c>
      <c r="DH42" s="21">
        <f>EXP(-LN(2)/2)*DH41+(1-EXP(-LN(2)/2))/(LN(2)/2)*DB42*DE42*VLOOKUP('Données projet'!$B$13,Paramètres!$A$1:$I$89,3,0)*0.475*44/12</f>
        <v>0.40099454581762711</v>
      </c>
      <c r="DI42" s="22">
        <f t="shared" si="15"/>
        <v>7.1563207154895316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-8.5265128291212022E-14</v>
      </c>
      <c r="DP42" s="17">
        <f>DO42*VLOOKUP('Données projet'!$B$14,Paramètres!$A$1:$I$89,3,0)*VLOOKUP('Données projet'!$B$14,Paramètres!$A$1:$I$89,5,0)</f>
        <v>-7.7147888077888636E-14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225.28075317732998</v>
      </c>
      <c r="DU42" s="59">
        <f t="shared" si="44"/>
        <v>358.43407531256207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1.8772539337160274</v>
      </c>
      <c r="EB42" s="21">
        <f>EXP(-LN(2)/25)*EB41+(1-EXP(-LN(2)/25))/(LN(2)/25)*Calculateur!DW42*Calculateur!DY42*VLOOKUP('Données projet'!$B$14,Paramètres!$A$1:$I$89,3,0)*0.475*44/12</f>
        <v>6.4452935660477326</v>
      </c>
      <c r="EC42" s="21">
        <f>EXP(-LN(2)/2)*EC41+(1-EXP(-LN(2)/2))/(LN(2)/2)*DW42*DZ42*VLOOKUP('Données projet'!$B$14,Paramètres!$A$1:$I$89,3,0)*0.475*44/12</f>
        <v>0.19507401641847222</v>
      </c>
      <c r="ED42" s="22">
        <f t="shared" si="18"/>
        <v>8.5176215161822313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22</v>
      </c>
      <c r="EJ42" s="12">
        <f>IF('Données projet'!$A$192&gt;35,EJ41+EI42-ER41,IF(A42&lt;'Données projet'!$A$192,$EG$205^A42,IF(A42='Données projet'!$A$192,'Données projet'!$B$192,EJ41+EI42-ER41)))</f>
        <v>406.99999999999989</v>
      </c>
      <c r="EK42" s="17">
        <f>EJ42*VLOOKUP('Données projet'!$B$15,Paramètres!$A$1:$I$89,3,0)*VLOOKUP('Données projet'!$B$15,Paramètres!$A$1:$I$89,5,0)</f>
        <v>227.51299999999995</v>
      </c>
      <c r="EL42" s="13">
        <f t="shared" si="45"/>
        <v>55.744594200664011</v>
      </c>
      <c r="EM42" s="20">
        <f t="shared" si="19"/>
        <v>493.34030989948968</v>
      </c>
      <c r="EN42" s="59">
        <f t="shared" si="20"/>
        <v>786.673643232823</v>
      </c>
      <c r="EO42" s="59">
        <f ca="1">AVERAGE(OFFSET($EN$3,0,0,'Données projet'!$E$15+1,1))-AVERAGE(OFFSET($H$3,0,0,'Données projet'!$E$15+1,1))</f>
        <v>326.31232746914907</v>
      </c>
      <c r="EP42" s="59">
        <f t="shared" si="46"/>
        <v>330.17137761430297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3.8221978451880845</v>
      </c>
      <c r="EW42" s="21">
        <f>EXP(-LN(2)/25)*EW41+(1-EXP(-LN(2)/25))/(LN(2)/25)*Calculateur!ER42*Calculateur!ET42*VLOOKUP('Données projet'!$B$15,Paramètres!$A$1:$I$89,3,0)*0.475*44/12</f>
        <v>23.509692554771632</v>
      </c>
      <c r="EX42" s="21">
        <f>EXP(-LN(2)/2)*EX41+(1-EXP(-LN(2)/2))/(LN(2)/2)*ER42*EU42*VLOOKUP('Données projet'!$B$15,Paramètres!$A$1:$I$89,3,0)*0.475*44/12</f>
        <v>1.4372868265676821</v>
      </c>
      <c r="EY42" s="22">
        <f t="shared" si="21"/>
        <v>28.7691772265274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15.1</v>
      </c>
      <c r="FE42" s="12">
        <f>IF('Données projet'!$A$218&gt;35,FE41+FD42-FM41,IF(A42&lt;'Données projet'!$A$218,$FB$205^A42,IF(A42='Données projet'!$A$218,'Données projet'!$B$218,FE41+FD42-FM41)))</f>
        <v>314.90000000000009</v>
      </c>
      <c r="FF42" s="17">
        <f>FE42*VLOOKUP('Données projet'!$B$16,Paramètres!$A$1:$I$89,3,0)*VLOOKUP('Données projet'!$B$16,Paramètres!$A$1:$I$89,5,0)</f>
        <v>196.49760000000006</v>
      </c>
      <c r="FG42" s="13">
        <f t="shared" si="47"/>
        <v>48.973656553237205</v>
      </c>
      <c r="FH42" s="20">
        <f t="shared" si="22"/>
        <v>427.5291051635549</v>
      </c>
      <c r="FI42" s="59">
        <f t="shared" si="23"/>
        <v>720.86243849688822</v>
      </c>
      <c r="FJ42" s="59">
        <f ca="1">AVERAGE(OFFSET($FI$3,0,0,'Données projet'!$E$16+1,1))-AVERAGE(OFFSET($H$3,0,0,'Données projet'!$E$16+1,1))</f>
        <v>255.41017495879987</v>
      </c>
      <c r="FK42" s="59">
        <f t="shared" si="48"/>
        <v>297.50513563712764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6.9817736537896478</v>
      </c>
      <c r="FR42" s="21">
        <f>EXP(-LN(2)/25)*FR41+(1-EXP(-LN(2)/25))/(LN(2)/25)*Calculateur!FM42*Calculateur!FO42*VLOOKUP('Données projet'!$B$16,Paramètres!$A$1:$I$89,3,0)*0.475*44/12</f>
        <v>21.715213759346341</v>
      </c>
      <c r="FS42" s="21">
        <f>EXP(-LN(2)/2)*FS41+(1-EXP(-LN(2)/2))/(LN(2)/2)*FM42*FP42*VLOOKUP('Données projet'!$B$16,Paramètres!$A$1:$I$89,3,0)*0.475*44/12</f>
        <v>1.078390482621217</v>
      </c>
      <c r="FT42" s="22">
        <f t="shared" si="24"/>
        <v>29.775377895757206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12.4</v>
      </c>
      <c r="FZ42" s="12">
        <f>IF('Données projet'!$A$244&gt;35,FZ41+FY42-GH41,IF(A42&lt;'Données projet'!$A$244,$FW$205^A42,IF(A42='Données projet'!$A$244,'Données projet'!$B$244,FZ41+FY42-GH41)))</f>
        <v>284.60000000000008</v>
      </c>
      <c r="GA42" s="17">
        <f>FZ42*VLOOKUP('Données projet'!$B$17,Paramètres!$A$1:$I$89,3,0)*VLOOKUP('Données projet'!$B$17,Paramètres!$A$1:$I$89,5,0)</f>
        <v>170.19080000000008</v>
      </c>
      <c r="GB42" s="13">
        <f t="shared" si="49"/>
        <v>43.132753648041643</v>
      </c>
      <c r="GC42" s="20">
        <f t="shared" si="25"/>
        <v>371.53852260367267</v>
      </c>
      <c r="GD42" s="59">
        <f t="shared" si="26"/>
        <v>664.87185593700599</v>
      </c>
      <c r="GE42" s="59">
        <f ca="1">AVERAGE(OFFSET($GD$3,0,0,'Données projet'!$E$17+1,1))-AVERAGE(OFFSET($H$3,0,0,'Données projet'!$E$17+1,1))</f>
        <v>259.30247982593914</v>
      </c>
      <c r="GF42" s="59">
        <f t="shared" si="50"/>
        <v>275.24740346220779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14.050685019088919</v>
      </c>
      <c r="GN42" s="21">
        <f>EXP(-LN(2)/2)*GN41+(1-EXP(-LN(2)/2))/(LN(2)/2)*GH42*GK42*VLOOKUP('Données projet'!$B$17,Paramètres!$A$1:$I$89,3,0)*0.475*44/12</f>
        <v>1.2675096845759588</v>
      </c>
      <c r="GO42" s="21">
        <f t="shared" si="27"/>
        <v>15.318194703664878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10.199999999999999</v>
      </c>
      <c r="GU42" s="12">
        <f>IF('Données projet'!$A$270&gt;35,GU41+GT42-HC41,IF(A42&lt;'Données projet'!$A$270,$GR$205^A42,IF(A42='Données projet'!$A$270,'Données projet'!$B$270,GU41+GT42-HC41)))</f>
        <v>209.79999999999987</v>
      </c>
      <c r="GV42" s="17">
        <f>GU42*VLOOKUP('Données projet'!$B$18,Paramètres!$A$1:$I$89,3,0)*VLOOKUP('Données projet'!$B$18,Paramètres!$A$1:$I$89,5,0)</f>
        <v>166.91687999999991</v>
      </c>
      <c r="GW42" s="13">
        <f t="shared" si="51"/>
        <v>42.398773450063487</v>
      </c>
      <c r="GX42" s="20">
        <f t="shared" si="28"/>
        <v>364.55809642552708</v>
      </c>
      <c r="GY42" s="59">
        <f t="shared" si="29"/>
        <v>657.89142975886034</v>
      </c>
      <c r="GZ42" s="59">
        <f ca="1">AVERAGE(OFFSET($GY$3,0,0,'Données projet'!$E$18+1,1))-AVERAGE(OFFSET($H$3,0,0,'Données projet'!$E$18+1,1))</f>
        <v>199.58763537752952</v>
      </c>
      <c r="HA42" s="59">
        <f t="shared" si="52"/>
        <v>242.62852778451929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8.0121310384480697</v>
      </c>
      <c r="HI42" s="21">
        <f>EXP(-LN(2)/2)*HI41+(1-EXP(-LN(2)/2))/(LN(2)/2)*HC42*HF42*VLOOKUP('Données projet'!$B$18,Paramètres!$A$1:$I$89,3,0)*0.475*44/12</f>
        <v>0.47559818224881362</v>
      </c>
      <c r="HJ42" s="22">
        <f t="shared" si="30"/>
        <v>8.4877292206968828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157.99999999999994</v>
      </c>
      <c r="O43" s="13">
        <f>N43*VLOOKUP('Données projet'!$B$9,Paramètres!$A$1:$I$89,3,0)*VLOOKUP('Données projet'!$B$9,Paramètres!$A$1:$I$89,5,0)</f>
        <v>142.95839999999993</v>
      </c>
      <c r="P43" s="13">
        <f t="shared" si="33"/>
        <v>36.973906370811264</v>
      </c>
      <c r="Q43" s="20">
        <f t="shared" si="53"/>
        <v>313.38210026249618</v>
      </c>
      <c r="R43" s="59">
        <f t="shared" si="0"/>
        <v>606.7154335958295</v>
      </c>
      <c r="S43" s="59">
        <f ca="1">AVERAGE(OFFSET($R$3,0,0,'Données projet'!$E$9+1,1))-AVERAGE(OFFSET($H$3,0,0,'Données projet'!$E$9+1,1))</f>
        <v>237.22177246688199</v>
      </c>
      <c r="T43" s="59">
        <f t="shared" si="34"/>
        <v>149.27472147904302</v>
      </c>
      <c r="U43" s="15">
        <f>IF(ISNA(VLOOKUP(A43,'Données projet'!$A$35:$I$55,3,0)),0,VLOOKUP(A43,'Données projet'!$A$35:$I$55,3,0))</f>
        <v>2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2.3538609712999925</v>
      </c>
      <c r="AB43" s="21">
        <f>EXP(-LN(2)/2)*AB42+(1-EXP(-LN(2)/2))/(LN(2)/2)*V43*Y43*VLOOKUP('Données projet'!$B$9,Paramètres!$A$1:$I$89,3,0)*0.475*44/12</f>
        <v>0.19341712045088835</v>
      </c>
      <c r="AC43" s="22">
        <f t="shared" si="3"/>
        <v>2.547278091750881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8.1999999999999993</v>
      </c>
      <c r="AH43" s="12">
        <f t="array" ref="AH43">INDEX(AG:AG,MIN(IF(ISNUMBER(AG43:AG239),ROW(AG43:AG239),"")))</f>
        <v>8.1999999999999993</v>
      </c>
      <c r="AI43" s="13">
        <f>IF('Données projet'!$A$62&gt;35,AI42+AH43-AQ42,IF(A43&lt;'Données projet'!$A$62,$AF$205^A43,IF(A43='Données projet'!$A$62,'Données projet'!$B$62,AI42+AH43-AQ42)))</f>
        <v>157.99999999999994</v>
      </c>
      <c r="AJ43" s="13">
        <f>AI43*VLOOKUP('Données projet'!$B$10,Paramètres!$A$1:$I$89,3,0)*VLOOKUP('Données projet'!$B$10,Paramètres!$A$1:$I$89,5,0)</f>
        <v>160.21199999999993</v>
      </c>
      <c r="AK43" s="13">
        <f t="shared" si="35"/>
        <v>40.890328912852695</v>
      </c>
      <c r="AL43" s="20">
        <f t="shared" si="4"/>
        <v>350.25322285655164</v>
      </c>
      <c r="AM43" s="59">
        <f t="shared" si="5"/>
        <v>643.58655618988496</v>
      </c>
      <c r="AN43" s="59">
        <f ca="1">AVERAGE(OFFSET($AM$3,0,0,'Données projet'!$E$10+1,1))-AVERAGE(OFFSET($H$3,0,0,'Données projet'!$E$10+1,1))</f>
        <v>279.20364724206644</v>
      </c>
      <c r="AO43" s="59">
        <f t="shared" si="36"/>
        <v>173.99850582760712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2.6379476402499917</v>
      </c>
      <c r="AW43" s="21">
        <f>EXP(-LN(2)/2)*AW42+(1-EXP(-LN(2)/2))/(LN(2)/2)*AQ43*AT43*VLOOKUP('Données projet'!$B$10,Paramètres!$A$1:$I$89,3,0)*0.475*44/12</f>
        <v>0.21676056602254726</v>
      </c>
      <c r="AX43" s="21">
        <f t="shared" si="6"/>
        <v>2.8547082062725391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291.60000000000002</v>
      </c>
      <c r="BB43" s="12">
        <f>VLOOKUP(A43,'Données projet'!$A$87:$I$107,9,0)</f>
        <v>10.000000000000004</v>
      </c>
      <c r="BC43" s="12">
        <f t="array" ref="BC43">INDEX(BB:BB,MIN(IF(ISNUMBER(BB43:BB239),ROW(BB43:BB239),"")))</f>
        <v>10.000000000000004</v>
      </c>
      <c r="BD43" s="12">
        <f>IF('Données projet'!$A$88&gt;35,BD42+BC43-BL42,IF(A43&lt;'Données projet'!$A$88,$BA$205^A43,IF(A43='Données projet'!$A$88,'Données projet'!$B$88,BD42+BC43-BL42)))</f>
        <v>291.59999999999991</v>
      </c>
      <c r="BE43" s="13">
        <f>BD43*VLOOKUP('Données projet'!$B$11,Paramètres!$A$1:$I$89,3,0)*VLOOKUP('Données projet'!$B$11,Paramètres!$A$1:$I$89,5,0)</f>
        <v>136.46879999999996</v>
      </c>
      <c r="BF43" s="13">
        <f t="shared" si="37"/>
        <v>35.486858352195874</v>
      </c>
      <c r="BG43" s="20">
        <f t="shared" si="7"/>
        <v>299.48943829674107</v>
      </c>
      <c r="BH43" s="59">
        <f t="shared" si="8"/>
        <v>592.82277163007439</v>
      </c>
      <c r="BI43" s="59">
        <f ca="1">AVERAGE(OFFSET($BH$3,0,0,'Données projet'!$E$11+1,1))-AVERAGE(OFFSET($H$3,0,0,'Données projet'!$E$11+1,1))</f>
        <v>215.23235148064941</v>
      </c>
      <c r="BJ43" s="59">
        <f t="shared" si="38"/>
        <v>184.07239726900434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83.4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2.5714081142645449</v>
      </c>
      <c r="BQ43" s="21">
        <f>EXP(-LN(2)/25)*BQ42+(1-EXP(-LN(2)/25))/(LN(2)/25)*Calculateur!BL43*Calculateur!BN43*VLOOKUP('Données projet'!$B$11,Paramètres!$A$1:$I$89,3,0)*0.475*44/12</f>
        <v>5.9533287294897184</v>
      </c>
      <c r="BR43" s="21">
        <f>EXP(-LN(2)/2)*BR42+(1-EXP(-LN(2)/2))/(LN(2)/2)*BL43*BO43*VLOOKUP('Données projet'!$B$11,Paramètres!$A$1:$I$89,3,0)*0.475*44/12</f>
        <v>0.30725551500924975</v>
      </c>
      <c r="BS43" s="22">
        <f t="shared" si="9"/>
        <v>8.8319923587635127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158</v>
      </c>
      <c r="BW43" s="12">
        <f>VLOOKUP(A43,'Données projet'!$A$113:$I$133,9,0)</f>
        <v>8.1999999999999993</v>
      </c>
      <c r="BX43" s="12">
        <f t="array" ref="BX43">INDEX(BW:BW,MIN(IF(ISNUMBER(BW43:BW239),ROW(BW43:BW239),"")))</f>
        <v>8.1999999999999993</v>
      </c>
      <c r="BY43" s="12">
        <f>IF('Données projet'!$A$114&gt;35,BY42+BX43-CG42,IF(A43&lt;'Données projet'!$A$114,$BV$205^A43,IF(A43='Données projet'!$A$114,'Données projet'!$B$114,BY42+BX43-CG42)))</f>
        <v>157.99999999999994</v>
      </c>
      <c r="BZ43" s="13">
        <f>BY43*VLOOKUP('Données projet'!$B$12,Paramètres!$A$1:$I$89,3,0)*VLOOKUP('Données projet'!$B$12,Paramètres!$A$1:$I$89,5,0)</f>
        <v>170.07119999999992</v>
      </c>
      <c r="CA43" s="13">
        <f t="shared" si="39"/>
        <v>43.105969628155904</v>
      </c>
      <c r="CB43" s="20">
        <f t="shared" si="10"/>
        <v>371.28357043570469</v>
      </c>
      <c r="CC43" s="59">
        <f t="shared" si="11"/>
        <v>664.616903769038</v>
      </c>
      <c r="CD43" s="59">
        <f ca="1">AVERAGE(OFFSET($CC$3,0,0,'Données projet'!$E$12+1,1))-AVERAGE(OFFSET($H$3,0,0,'Données projet'!$E$12+1,1))</f>
        <v>303.1504619632214</v>
      </c>
      <c r="CE43" s="59">
        <f t="shared" si="40"/>
        <v>188.09929616366503</v>
      </c>
      <c r="CF43" s="15">
        <f>IF(ISNA(VLOOKUP(A43,'Données projet'!$A$113:$I$133,3,0)),0,VLOOKUP(A43,'Données projet'!$A$113:$I$133,3,0))</f>
        <v>2</v>
      </c>
      <c r="CG43" s="15">
        <f>IF(ISNA(VLOOKUP(A43,'Données projet'!$A$113:$I$133,4,0)),0,VLOOKUP(A43,'Données projet'!$A$113:$I$133,4,0))</f>
        <v>42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2.8002828796499908</v>
      </c>
      <c r="CM43" s="21">
        <f>EXP(-LN(2)/2)*CM42+(1-EXP(-LN(2)/2))/(LN(2)/2)*CG43*CJ43*VLOOKUP('Données projet'!$B$12,Paramètres!$A$1:$I$89,3,0)*0.475*44/12</f>
        <v>0.23009967777778112</v>
      </c>
      <c r="CN43" s="22">
        <f t="shared" si="12"/>
        <v>3.0303825574277719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220</v>
      </c>
      <c r="CR43" s="12">
        <f>VLOOKUP(A43,'Données projet'!$A$139:$I$159,9,0)</f>
        <v>10.199999999999999</v>
      </c>
      <c r="CS43" s="12">
        <f t="array" ref="CS43">INDEX(CR:CR,MIN(IF(ISNUMBER(CR43:CR239),ROW(CR43:CR239),"")))</f>
        <v>10.199999999999999</v>
      </c>
      <c r="CT43" s="12">
        <f>IF('Données projet'!$A$140&gt;35,CT42+CS43-DB42,IF(A43&lt;'Données projet'!$A$140,$CQ$205^A43,IF(A43='Données projet'!$A$140,'Données projet'!$B$140,CT42+CS43-DB42)))</f>
        <v>219.99999999999986</v>
      </c>
      <c r="CU43" s="17">
        <f>CT43*VLOOKUP('Données projet'!$B$13,Paramètres!$A$1:$I$89,3,0)*VLOOKUP('Données projet'!$B$13,Paramètres!$A$1:$I$89,5,0)</f>
        <v>147.57599999999991</v>
      </c>
      <c r="CV43" s="13">
        <f t="shared" si="41"/>
        <v>38.027201687128048</v>
      </c>
      <c r="CW43" s="20">
        <f t="shared" si="13"/>
        <v>323.25890960508121</v>
      </c>
      <c r="CX43" s="59">
        <f t="shared" si="14"/>
        <v>616.59224293841453</v>
      </c>
      <c r="CY43" s="59">
        <f ca="1">AVERAGE(OFFSET($CX$3,0,0,'Données projet'!$E$13+1,1))-AVERAGE(OFFSET($H$3,0,0,'Données projet'!$E$13+1,1))</f>
        <v>156.63226020379989</v>
      </c>
      <c r="CZ43" s="59">
        <f t="shared" si="42"/>
        <v>196.0481096619543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56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6.5706014203150627</v>
      </c>
      <c r="DH43" s="21">
        <f>EXP(-LN(2)/2)*DH42+(1-EXP(-LN(2)/2))/(LN(2)/2)*DB43*DE43*VLOOKUP('Données projet'!$B$13,Paramètres!$A$1:$I$89,3,0)*0.475*44/12</f>
        <v>0.28354596256646386</v>
      </c>
      <c r="DI43" s="22">
        <f t="shared" si="15"/>
        <v>6.8541473828815267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-8.5265128291212022E-14</v>
      </c>
      <c r="DP43" s="17">
        <f>DO43*VLOOKUP('Données projet'!$B$14,Paramètres!$A$1:$I$89,3,0)*VLOOKUP('Données projet'!$B$14,Paramètres!$A$1:$I$89,5,0)</f>
        <v>-7.7147888077888636E-14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225.28075317732998</v>
      </c>
      <c r="DU43" s="59">
        <f t="shared" si="44"/>
        <v>358.43407531256207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1.8404421290876951</v>
      </c>
      <c r="EB43" s="21">
        <f>EXP(-LN(2)/25)*EB42+(1-EXP(-LN(2)/25))/(LN(2)/25)*Calculateur!DW43*Calculateur!DY43*VLOOKUP('Données projet'!$B$14,Paramètres!$A$1:$I$89,3,0)*0.475*44/12</f>
        <v>6.2690466745408999</v>
      </c>
      <c r="EC43" s="21">
        <f>EXP(-LN(2)/2)*EC42+(1-EXP(-LN(2)/2))/(LN(2)/2)*DW43*DZ43*VLOOKUP('Données projet'!$B$14,Paramètres!$A$1:$I$89,3,0)*0.475*44/12</f>
        <v>0.13793815984279761</v>
      </c>
      <c r="ED43" s="22">
        <f t="shared" si="18"/>
        <v>8.2474269634713924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429</v>
      </c>
      <c r="EH43" s="12">
        <f>VLOOKUP(A43,'Données projet'!$A$191:$I$211,9,0)</f>
        <v>22</v>
      </c>
      <c r="EI43" s="12">
        <f t="array" ref="EI43">INDEX(EH:EH,MIN(IF(ISNUMBER(EH43:EH239),ROW(EH43:EH239),"")))</f>
        <v>22</v>
      </c>
      <c r="EJ43" s="12">
        <f>IF('Données projet'!$A$192&gt;35,EJ42+EI43-ER42,IF(A43&lt;'Données projet'!$A$192,$EG$205^A43,IF(A43='Données projet'!$A$192,'Données projet'!$B$192,EJ42+EI43-ER42)))</f>
        <v>428.99999999999989</v>
      </c>
      <c r="EK43" s="17">
        <f>EJ43*VLOOKUP('Données projet'!$B$15,Paramètres!$A$1:$I$89,3,0)*VLOOKUP('Données projet'!$B$15,Paramètres!$A$1:$I$89,5,0)</f>
        <v>239.81099999999992</v>
      </c>
      <c r="EL43" s="13">
        <f t="shared" si="45"/>
        <v>58.398864347229804</v>
      </c>
      <c r="EM43" s="20">
        <f t="shared" si="19"/>
        <v>519.3821804047584</v>
      </c>
      <c r="EN43" s="59">
        <f t="shared" si="20"/>
        <v>812.71551373809166</v>
      </c>
      <c r="EO43" s="59">
        <f ca="1">AVERAGE(OFFSET($EN$3,0,0,'Données projet'!$E$15+1,1))-AVERAGE(OFFSET($H$3,0,0,'Données projet'!$E$15+1,1))</f>
        <v>326.31232746914907</v>
      </c>
      <c r="EP43" s="59">
        <f t="shared" si="46"/>
        <v>330.17137761430297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112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3.747246876754434</v>
      </c>
      <c r="EW43" s="21">
        <f>EXP(-LN(2)/25)*EW42+(1-EXP(-LN(2)/25))/(LN(2)/25)*Calculateur!ER43*Calculateur!ET43*VLOOKUP('Données projet'!$B$15,Paramètres!$A$1:$I$89,3,0)*0.475*44/12</f>
        <v>22.866818775540402</v>
      </c>
      <c r="EX43" s="21">
        <f>EXP(-LN(2)/2)*EX42+(1-EXP(-LN(2)/2))/(LN(2)/2)*ER43*EU43*VLOOKUP('Données projet'!$B$15,Paramètres!$A$1:$I$89,3,0)*0.475*44/12</f>
        <v>1.0163152615761013</v>
      </c>
      <c r="EY43" s="22">
        <f t="shared" si="21"/>
        <v>27.630380913870937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330</v>
      </c>
      <c r="FC43" s="12">
        <f>VLOOKUP(A43,'Données projet'!$A$217:$I$237,9,0)</f>
        <v>15.1</v>
      </c>
      <c r="FD43" s="12">
        <f t="array" ref="FD43">INDEX(FC:FC,MIN(IF(ISNUMBER(FC43:FC239),ROW(FC43:FC239),"")))</f>
        <v>15.1</v>
      </c>
      <c r="FE43" s="12">
        <f>IF('Données projet'!$A$218&gt;35,FE42+FD43-FM42,IF(A43&lt;'Données projet'!$A$218,$FB$205^A43,IF(A43='Données projet'!$A$218,'Données projet'!$B$218,FE42+FD43-FM42)))</f>
        <v>330.00000000000011</v>
      </c>
      <c r="FF43" s="17">
        <f>FE43*VLOOKUP('Données projet'!$B$16,Paramètres!$A$1:$I$89,3,0)*VLOOKUP('Données projet'!$B$16,Paramètres!$A$1:$I$89,5,0)</f>
        <v>205.9200000000001</v>
      </c>
      <c r="FG43" s="13">
        <f t="shared" si="47"/>
        <v>51.042987531485686</v>
      </c>
      <c r="FH43" s="20">
        <f t="shared" si="22"/>
        <v>447.54386995067108</v>
      </c>
      <c r="FI43" s="59">
        <f t="shared" si="23"/>
        <v>740.87720328400439</v>
      </c>
      <c r="FJ43" s="59">
        <f ca="1">AVERAGE(OFFSET($FI$3,0,0,'Données projet'!$E$16+1,1))-AVERAGE(OFFSET($H$3,0,0,'Données projet'!$E$16+1,1))</f>
        <v>255.41017495879987</v>
      </c>
      <c r="FK43" s="59">
        <f t="shared" si="48"/>
        <v>297.50513563712764</v>
      </c>
      <c r="FL43" s="15">
        <f>IF(ISNA(VLOOKUP(A43,'Données projet'!$A$217:$I$237,3,0)),0,VLOOKUP(A43,'Données projet'!$A$217:$I$237,3,0))</f>
        <v>3</v>
      </c>
      <c r="FM43" s="15">
        <f>IF(ISNA(VLOOKUP(A43,'Données projet'!$A$217:$I$237,4,0)),0,VLOOKUP(A43,'Données projet'!$A$217:$I$237,4,0))</f>
        <v>82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6.8448653309002738</v>
      </c>
      <c r="FR43" s="21">
        <f>EXP(-LN(2)/25)*FR42+(1-EXP(-LN(2)/25))/(LN(2)/25)*Calculateur!FM43*Calculateur!FO43*VLOOKUP('Données projet'!$B$16,Paramètres!$A$1:$I$89,3,0)*0.475*44/12</f>
        <v>21.121410097143553</v>
      </c>
      <c r="FS43" s="21">
        <f>EXP(-LN(2)/2)*FS42+(1-EXP(-LN(2)/2))/(LN(2)/2)*FM43*FP43*VLOOKUP('Données projet'!$B$16,Paramètres!$A$1:$I$89,3,0)*0.475*44/12</f>
        <v>0.76253722302849625</v>
      </c>
      <c r="FT43" s="22">
        <f t="shared" si="24"/>
        <v>28.728812651072321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297</v>
      </c>
      <c r="FX43" s="12">
        <f>VLOOKUP(A43,'Données projet'!$A$243:$I$263,9,0)</f>
        <v>12.4</v>
      </c>
      <c r="FY43" s="12">
        <f t="array" ref="FY43">INDEX(FX:FX,MIN(IF(ISNUMBER(FX43:FX239),ROW(FX43:FX239),"")))</f>
        <v>12.4</v>
      </c>
      <c r="FZ43" s="12">
        <f>IF('Données projet'!$A$244&gt;35,FZ42+FY43-GH42,IF(A43&lt;'Données projet'!$A$244,$FW$205^A43,IF(A43='Données projet'!$A$244,'Données projet'!$B$244,FZ42+FY43-GH42)))</f>
        <v>297.00000000000006</v>
      </c>
      <c r="GA43" s="17">
        <f>FZ43*VLOOKUP('Données projet'!$B$17,Paramètres!$A$1:$I$89,3,0)*VLOOKUP('Données projet'!$B$17,Paramètres!$A$1:$I$89,5,0)</f>
        <v>177.60600000000005</v>
      </c>
      <c r="GB43" s="13">
        <f t="shared" si="49"/>
        <v>44.789150937858665</v>
      </c>
      <c r="GC43" s="20">
        <f t="shared" si="25"/>
        <v>387.33822121677059</v>
      </c>
      <c r="GD43" s="59">
        <f t="shared" si="26"/>
        <v>680.67155455010391</v>
      </c>
      <c r="GE43" s="59">
        <f ca="1">AVERAGE(OFFSET($GD$3,0,0,'Données projet'!$E$17+1,1))-AVERAGE(OFFSET($H$3,0,0,'Données projet'!$E$17+1,1))</f>
        <v>259.30247982593914</v>
      </c>
      <c r="GF43" s="59">
        <f t="shared" si="50"/>
        <v>275.24740346220779</v>
      </c>
      <c r="GG43" s="15">
        <f>IF(ISNA(VLOOKUP(A43,'Données projet'!$A$243:$I$263,3,0)),0,VLOOKUP(A43,'Données projet'!$A$243:$I$263,3,0))</f>
        <v>3</v>
      </c>
      <c r="GH43" s="15">
        <f>IF(ISNA(VLOOKUP(A43,'Données projet'!$A$243:$I$263,4,0)),0,VLOOKUP(A43,'Données projet'!$A$243:$I$263,4,0))</f>
        <v>84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13.666468298348521</v>
      </c>
      <c r="GN43" s="21">
        <f>EXP(-LN(2)/2)*GN42+(1-EXP(-LN(2)/2))/(LN(2)/2)*GH43*GK43*VLOOKUP('Données projet'!$B$17,Paramètres!$A$1:$I$89,3,0)*0.475*44/12</f>
        <v>0.89626469318328239</v>
      </c>
      <c r="GO43" s="21">
        <f t="shared" si="27"/>
        <v>14.562732991531803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220</v>
      </c>
      <c r="GS43" s="12">
        <f>VLOOKUP(A43,'Données projet'!$A$269:$I$289,9,0)</f>
        <v>10.199999999999999</v>
      </c>
      <c r="GT43" s="12">
        <f t="array" ref="GT43">INDEX(GS:GS,MIN(IF(ISNUMBER(GS43:GS239),ROW(GS43:GS239),"")))</f>
        <v>10.199999999999999</v>
      </c>
      <c r="GU43" s="12">
        <f>IF('Données projet'!$A$270&gt;35,GU42+GT43-HC42,IF(A43&lt;'Données projet'!$A$270,$GR$205^A43,IF(A43='Données projet'!$A$270,'Données projet'!$B$270,GU42+GT43-HC42)))</f>
        <v>219.99999999999986</v>
      </c>
      <c r="GV43" s="17">
        <f>GU43*VLOOKUP('Données projet'!$B$18,Paramètres!$A$1:$I$89,3,0)*VLOOKUP('Données projet'!$B$18,Paramètres!$A$1:$I$89,5,0)</f>
        <v>175.0319999999999</v>
      </c>
      <c r="GW43" s="13">
        <f t="shared" si="51"/>
        <v>44.215103743190973</v>
      </c>
      <c r="GX43" s="20">
        <f t="shared" si="28"/>
        <v>381.85537235272409</v>
      </c>
      <c r="GY43" s="59">
        <f t="shared" si="29"/>
        <v>675.18870568605735</v>
      </c>
      <c r="GZ43" s="59">
        <f ca="1">AVERAGE(OFFSET($GY$3,0,0,'Données projet'!$E$18+1,1))-AVERAGE(OFFSET($H$3,0,0,'Données projet'!$E$18+1,1))</f>
        <v>199.58763537752952</v>
      </c>
      <c r="HA43" s="59">
        <f t="shared" si="52"/>
        <v>242.62852778451929</v>
      </c>
      <c r="HB43" s="15">
        <f>IF(ISNA(VLOOKUP(A43,'Données projet'!$A$269:$I$289,3,0)),0,VLOOKUP(A43,'Données projet'!$A$269:$I$289,3,0))</f>
        <v>3</v>
      </c>
      <c r="HC43" s="15">
        <f>IF(ISNA(VLOOKUP(A43,'Données projet'!$A$269:$I$289,4,0)),0,VLOOKUP(A43,'Données projet'!$A$269:$I$289,4,0))</f>
        <v>56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0</v>
      </c>
      <c r="HH43" s="21">
        <f>EXP(-LN(2)/25)*HH42+(1-EXP(-LN(2)/25))/(LN(2)/25)*Calculateur!HC43*Calculateur!HE43*VLOOKUP('Données projet'!$B$18,Paramètres!$A$1:$I$89,3,0)*0.475*44/12</f>
        <v>7.7930388938620476</v>
      </c>
      <c r="HI43" s="21">
        <f>EXP(-LN(2)/2)*HI42+(1-EXP(-LN(2)/2))/(LN(2)/2)*HC43*HF43*VLOOKUP('Données projet'!$B$18,Paramètres!$A$1:$I$89,3,0)*0.475*44/12</f>
        <v>0.33629869978813165</v>
      </c>
      <c r="HJ43" s="22">
        <f t="shared" si="30"/>
        <v>8.1293375936501793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8.3000000000000007</v>
      </c>
      <c r="N44" s="13">
        <f>IF('Données projet'!$A$36&gt;35,N43+M44-V43,IF(A44&lt;'Données projet'!$A$36,$K$205^A44,IF(A44='Données projet'!$A$36,'Données projet'!$B$36,N43+M44-V43)))</f>
        <v>124.29999999999995</v>
      </c>
      <c r="O44" s="13">
        <f>N44*VLOOKUP('Données projet'!$B$9,Paramètres!$A$1:$I$89,3,0)*VLOOKUP('Données projet'!$B$9,Paramètres!$A$1:$I$89,5,0)</f>
        <v>112.46663999999996</v>
      </c>
      <c r="P44" s="13">
        <f t="shared" si="33"/>
        <v>29.911391992758421</v>
      </c>
      <c r="Q44" s="20">
        <f t="shared" si="53"/>
        <v>247.97507238738748</v>
      </c>
      <c r="R44" s="59">
        <f t="shared" si="0"/>
        <v>541.30840572072077</v>
      </c>
      <c r="S44" s="59">
        <f ca="1">AVERAGE(OFFSET($R$3,0,0,'Données projet'!$E$9+1,1))-AVERAGE(OFFSET($H$3,0,0,'Données projet'!$E$9+1,1))</f>
        <v>237.22177246688199</v>
      </c>
      <c r="T44" s="59">
        <f t="shared" si="34"/>
        <v>149.27472147904302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2.2894945192556255</v>
      </c>
      <c r="AB44" s="21">
        <f>EXP(-LN(2)/2)*AB43+(1-EXP(-LN(2)/2))/(LN(2)/2)*V44*Y44*VLOOKUP('Données projet'!$B$9,Paramètres!$A$1:$I$89,3,0)*0.475*44/12</f>
        <v>0.13676655746839841</v>
      </c>
      <c r="AC44" s="22">
        <f t="shared" si="3"/>
        <v>2.4262610767240238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8.3000000000000007</v>
      </c>
      <c r="AI44" s="13">
        <f>IF('Données projet'!$A$62&gt;35,AI43+AH44-AQ43,IF(A44&lt;'Données projet'!$A$62,$AF$205^A44,IF(A44='Données projet'!$A$62,'Données projet'!$B$62,AI43+AH44-AQ43)))</f>
        <v>124.29999999999995</v>
      </c>
      <c r="AJ44" s="13">
        <f>AI44*VLOOKUP('Données projet'!$B$10,Paramètres!$A$1:$I$89,3,0)*VLOOKUP('Données projet'!$B$10,Paramètres!$A$1:$I$89,5,0)</f>
        <v>126.04019999999996</v>
      </c>
      <c r="AK44" s="13">
        <f t="shared" si="35"/>
        <v>33.079725051468074</v>
      </c>
      <c r="AL44" s="20">
        <f t="shared" si="4"/>
        <v>277.13386946464016</v>
      </c>
      <c r="AM44" s="59">
        <f t="shared" si="5"/>
        <v>570.46720279797341</v>
      </c>
      <c r="AN44" s="59">
        <f ca="1">AVERAGE(OFFSET($AM$3,0,0,'Données projet'!$E$10+1,1))-AVERAGE(OFFSET($H$3,0,0,'Données projet'!$E$10+1,1))</f>
        <v>279.20364724206644</v>
      </c>
      <c r="AO44" s="59">
        <f t="shared" si="36"/>
        <v>173.99850582760712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2.5658128233037183</v>
      </c>
      <c r="AW44" s="21">
        <f>EXP(-LN(2)/2)*AW43+(1-EXP(-LN(2)/2))/(LN(2)/2)*AQ44*AT44*VLOOKUP('Données projet'!$B$10,Paramètres!$A$1:$I$89,3,0)*0.475*44/12</f>
        <v>0.15327286612837751</v>
      </c>
      <c r="AX44" s="21">
        <f t="shared" si="6"/>
        <v>2.7190856894320956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11.499999999999996</v>
      </c>
      <c r="BD44" s="12">
        <f>IF('Données projet'!$A$88&gt;35,BD43+BC44-BL43,IF(A44&lt;'Données projet'!$A$88,$BA$205^A44,IF(A44='Données projet'!$A$88,'Données projet'!$B$88,BD43+BC44-BL43)))</f>
        <v>219.6999999999999</v>
      </c>
      <c r="BE44" s="13">
        <f>BD44*VLOOKUP('Données projet'!$B$11,Paramètres!$A$1:$I$89,3,0)*VLOOKUP('Données projet'!$B$11,Paramètres!$A$1:$I$89,5,0)</f>
        <v>102.81959999999995</v>
      </c>
      <c r="BF44" s="13">
        <f t="shared" si="37"/>
        <v>27.632637448562328</v>
      </c>
      <c r="BG44" s="20">
        <f t="shared" si="7"/>
        <v>227.20431355624598</v>
      </c>
      <c r="BH44" s="59">
        <f t="shared" si="8"/>
        <v>520.53764688957926</v>
      </c>
      <c r="BI44" s="59">
        <f ca="1">AVERAGE(OFFSET($BH$3,0,0,'Données projet'!$E$11+1,1))-AVERAGE(OFFSET($H$3,0,0,'Données projet'!$E$11+1,1))</f>
        <v>215.23235148064941</v>
      </c>
      <c r="BJ44" s="59">
        <f t="shared" si="38"/>
        <v>184.07239726900434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2.5209843695478997</v>
      </c>
      <c r="BQ44" s="21">
        <f>EXP(-LN(2)/25)*BQ43+(1-EXP(-LN(2)/25))/(LN(2)/25)*Calculateur!BL44*Calculateur!BN44*VLOOKUP('Données projet'!$B$11,Paramètres!$A$1:$I$89,3,0)*0.475*44/12</f>
        <v>5.7905346423098703</v>
      </c>
      <c r="BR44" s="21">
        <f>EXP(-LN(2)/2)*BR43+(1-EXP(-LN(2)/2))/(LN(2)/2)*BL44*BO44*VLOOKUP('Données projet'!$B$11,Paramètres!$A$1:$I$89,3,0)*0.475*44/12</f>
        <v>0.21726245822000553</v>
      </c>
      <c r="BS44" s="22">
        <f t="shared" si="9"/>
        <v>8.5287814700777762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8.3000000000000007</v>
      </c>
      <c r="BY44" s="12">
        <f>IF('Données projet'!$A$114&gt;35,BY43+BX44-CG43,IF(A44&lt;'Données projet'!$A$114,$BV$205^A44,IF(A44='Données projet'!$A$114,'Données projet'!$B$114,BY43+BX44-CG43)))</f>
        <v>124.29999999999995</v>
      </c>
      <c r="BZ44" s="13">
        <f>BY44*VLOOKUP('Données projet'!$B$12,Paramètres!$A$1:$I$89,3,0)*VLOOKUP('Données projet'!$B$12,Paramètres!$A$1:$I$89,5,0)</f>
        <v>133.79651999999996</v>
      </c>
      <c r="CA44" s="13">
        <f t="shared" si="39"/>
        <v>34.872148532122218</v>
      </c>
      <c r="CB44" s="20">
        <f t="shared" si="10"/>
        <v>293.76459769344609</v>
      </c>
      <c r="CC44" s="59">
        <f t="shared" si="11"/>
        <v>587.09793102677941</v>
      </c>
      <c r="CD44" s="59">
        <f ca="1">AVERAGE(OFFSET($CC$3,0,0,'Données projet'!$E$12+1,1))-AVERAGE(OFFSET($H$3,0,0,'Données projet'!$E$12+1,1))</f>
        <v>303.1504619632214</v>
      </c>
      <c r="CE44" s="59">
        <f t="shared" si="40"/>
        <v>188.09929616366503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2.7237089970454851</v>
      </c>
      <c r="CM44" s="21">
        <f>EXP(-LN(2)/2)*CM43+(1-EXP(-LN(2)/2))/(LN(2)/2)*CG44*CJ44*VLOOKUP('Données projet'!$B$12,Paramètres!$A$1:$I$89,3,0)*0.475*44/12</f>
        <v>0.16270504250550857</v>
      </c>
      <c r="CN44" s="22">
        <f t="shared" si="12"/>
        <v>2.8864140395509938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7.7</v>
      </c>
      <c r="CT44" s="12">
        <f>IF('Données projet'!$A$140&gt;35,CT43+CS44-DB43,IF(A44&lt;'Données projet'!$A$140,$CQ$205^A44,IF(A44='Données projet'!$A$140,'Données projet'!$B$140,CT43+CS44-DB43)))</f>
        <v>171.69999999999985</v>
      </c>
      <c r="CU44" s="17">
        <f>CT44*VLOOKUP('Données projet'!$B$13,Paramètres!$A$1:$I$89,3,0)*VLOOKUP('Données projet'!$B$13,Paramètres!$A$1:$I$89,5,0)</f>
        <v>115.1763599999999</v>
      </c>
      <c r="CV44" s="13">
        <f t="shared" si="41"/>
        <v>30.547292267481989</v>
      </c>
      <c r="CW44" s="20">
        <f t="shared" si="13"/>
        <v>253.80202769919762</v>
      </c>
      <c r="CX44" s="59">
        <f t="shared" si="14"/>
        <v>547.13536103253091</v>
      </c>
      <c r="CY44" s="59">
        <f ca="1">AVERAGE(OFFSET($CX$3,0,0,'Données projet'!$E$13+1,1))-AVERAGE(OFFSET($H$3,0,0,'Données projet'!$E$13+1,1))</f>
        <v>156.63226020379989</v>
      </c>
      <c r="CZ44" s="59">
        <f t="shared" si="42"/>
        <v>196.0481096619543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6.390927978943636</v>
      </c>
      <c r="DH44" s="21">
        <f>EXP(-LN(2)/2)*DH43+(1-EXP(-LN(2)/2))/(LN(2)/2)*DB44*DE44*VLOOKUP('Données projet'!$B$13,Paramètres!$A$1:$I$89,3,0)*0.475*44/12</f>
        <v>0.20049727290881356</v>
      </c>
      <c r="DI44" s="22">
        <f t="shared" si="15"/>
        <v>6.5914252518524492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-8.5265128291212022E-14</v>
      </c>
      <c r="DP44" s="17">
        <f>DO44*VLOOKUP('Données projet'!$B$14,Paramètres!$A$1:$I$89,3,0)*VLOOKUP('Données projet'!$B$14,Paramètres!$A$1:$I$89,5,0)</f>
        <v>-7.7147888077888636E-14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225.28075317732998</v>
      </c>
      <c r="DU44" s="59">
        <f t="shared" si="44"/>
        <v>358.43407531256207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1.8043521814951407</v>
      </c>
      <c r="EB44" s="21">
        <f>EXP(-LN(2)/25)*EB43+(1-EXP(-LN(2)/25))/(LN(2)/25)*Calculateur!DW44*Calculateur!DY44*VLOOKUP('Données projet'!$B$14,Paramètres!$A$1:$I$89,3,0)*0.475*44/12</f>
        <v>6.0976192635507429</v>
      </c>
      <c r="EC44" s="21">
        <f>EXP(-LN(2)/2)*EC43+(1-EXP(-LN(2)/2))/(LN(2)/2)*DW44*DZ44*VLOOKUP('Données projet'!$B$14,Paramètres!$A$1:$I$89,3,0)*0.475*44/12</f>
        <v>9.7537008209236109E-2</v>
      </c>
      <c r="ED44" s="22">
        <f t="shared" si="18"/>
        <v>7.9995084532551193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19.2</v>
      </c>
      <c r="EJ44" s="12">
        <f>IF('Données projet'!$A$192&gt;35,EJ43+EI44-ER43,IF(A44&lt;'Données projet'!$A$192,$EG$205^A44,IF(A44='Données projet'!$A$192,'Données projet'!$B$192,EJ43+EI44-ER43)))</f>
        <v>336.19999999999987</v>
      </c>
      <c r="EK44" s="17">
        <f>EJ44*VLOOKUP('Données projet'!$B$15,Paramètres!$A$1:$I$89,3,0)*VLOOKUP('Données projet'!$B$15,Paramètres!$A$1:$I$89,5,0)</f>
        <v>187.93579999999994</v>
      </c>
      <c r="EL44" s="13">
        <f t="shared" si="45"/>
        <v>47.083297807364765</v>
      </c>
      <c r="EM44" s="20">
        <f t="shared" si="19"/>
        <v>409.3249286811602</v>
      </c>
      <c r="EN44" s="59">
        <f t="shared" si="20"/>
        <v>702.65826201449352</v>
      </c>
      <c r="EO44" s="59">
        <f ca="1">AVERAGE(OFFSET($EN$3,0,0,'Données projet'!$E$15+1,1))-AVERAGE(OFFSET($H$3,0,0,'Données projet'!$E$15+1,1))</f>
        <v>326.31232746914907</v>
      </c>
      <c r="EP44" s="59">
        <f t="shared" si="46"/>
        <v>330.17137761430297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3.6737656510961907</v>
      </c>
      <c r="EW44" s="21">
        <f>EXP(-LN(2)/25)*EW43+(1-EXP(-LN(2)/25))/(LN(2)/25)*Calculateur!ER44*Calculateur!ET44*VLOOKUP('Données projet'!$B$15,Paramètres!$A$1:$I$89,3,0)*0.475*44/12</f>
        <v>22.241524413609515</v>
      </c>
      <c r="EX44" s="21">
        <f>EXP(-LN(2)/2)*EX43+(1-EXP(-LN(2)/2))/(LN(2)/2)*ER44*EU44*VLOOKUP('Données projet'!$B$15,Paramètres!$A$1:$I$89,3,0)*0.475*44/12</f>
        <v>0.71864341328384107</v>
      </c>
      <c r="EY44" s="22">
        <f t="shared" si="21"/>
        <v>26.633933477989544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12.4</v>
      </c>
      <c r="FE44" s="12">
        <f>IF('Données projet'!$A$218&gt;35,FE43+FD44-FM43,IF(A44&lt;'Données projet'!$A$218,$FB$205^A44,IF(A44='Données projet'!$A$218,'Données projet'!$B$218,FE43+FD44-FM43)))</f>
        <v>260.40000000000009</v>
      </c>
      <c r="FF44" s="17">
        <f>FE44*VLOOKUP('Données projet'!$B$16,Paramètres!$A$1:$I$89,3,0)*VLOOKUP('Données projet'!$B$16,Paramètres!$A$1:$I$89,5,0)</f>
        <v>162.48960000000005</v>
      </c>
      <c r="FG44" s="13">
        <f t="shared" si="47"/>
        <v>41.403546033820696</v>
      </c>
      <c r="FH44" s="20">
        <f t="shared" si="22"/>
        <v>355.11389600890448</v>
      </c>
      <c r="FI44" s="59">
        <f t="shared" si="23"/>
        <v>648.44722934223773</v>
      </c>
      <c r="FJ44" s="59">
        <f ca="1">AVERAGE(OFFSET($FI$3,0,0,'Données projet'!$E$16+1,1))-AVERAGE(OFFSET($H$3,0,0,'Données projet'!$E$16+1,1))</f>
        <v>255.41017495879987</v>
      </c>
      <c r="FK44" s="59">
        <f t="shared" si="48"/>
        <v>297.50513563712764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6.7106416967169285</v>
      </c>
      <c r="FR44" s="21">
        <f>EXP(-LN(2)/25)*FR43+(1-EXP(-LN(2)/25))/(LN(2)/25)*Calculateur!FM44*Calculateur!FO44*VLOOKUP('Données projet'!$B$16,Paramètres!$A$1:$I$89,3,0)*0.475*44/12</f>
        <v>20.543844027310477</v>
      </c>
      <c r="FS44" s="21">
        <f>EXP(-LN(2)/2)*FS43+(1-EXP(-LN(2)/2))/(LN(2)/2)*FM44*FP44*VLOOKUP('Données projet'!$B$16,Paramètres!$A$1:$I$89,3,0)*0.475*44/12</f>
        <v>0.53919524131060848</v>
      </c>
      <c r="FT44" s="22">
        <f t="shared" si="24"/>
        <v>27.793680965338012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18.8</v>
      </c>
      <c r="FZ44" s="12">
        <f>IF('Données projet'!$A$244&gt;35,FZ43+FY44-GH43,IF(A44&lt;'Données projet'!$A$244,$FW$205^A44,IF(A44='Données projet'!$A$244,'Données projet'!$B$244,FZ43+FY44-GH43)))</f>
        <v>231.80000000000007</v>
      </c>
      <c r="GA44" s="17">
        <f>FZ44*VLOOKUP('Données projet'!$B$17,Paramètres!$A$1:$I$89,3,0)*VLOOKUP('Données projet'!$B$17,Paramètres!$A$1:$I$89,5,0)</f>
        <v>138.61640000000006</v>
      </c>
      <c r="GB44" s="13">
        <f t="shared" si="49"/>
        <v>35.97985917844175</v>
      </c>
      <c r="GC44" s="20">
        <f t="shared" si="25"/>
        <v>304.08848473578615</v>
      </c>
      <c r="GD44" s="59">
        <f t="shared" si="26"/>
        <v>597.42181806911947</v>
      </c>
      <c r="GE44" s="59">
        <f ca="1">AVERAGE(OFFSET($GD$3,0,0,'Données projet'!$E$17+1,1))-AVERAGE(OFFSET($H$3,0,0,'Données projet'!$E$17+1,1))</f>
        <v>259.30247982593914</v>
      </c>
      <c r="GF44" s="59">
        <f t="shared" si="50"/>
        <v>275.24740346220779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13.292758004041849</v>
      </c>
      <c r="GN44" s="21">
        <f>EXP(-LN(2)/2)*GN43+(1-EXP(-LN(2)/2))/(LN(2)/2)*GH44*GK44*VLOOKUP('Données projet'!$B$17,Paramètres!$A$1:$I$89,3,0)*0.475*44/12</f>
        <v>0.6337548422879794</v>
      </c>
      <c r="GO44" s="21">
        <f t="shared" si="27"/>
        <v>13.926512846329828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7.7</v>
      </c>
      <c r="GU44" s="12">
        <f>IF('Données projet'!$A$270&gt;35,GU43+GT44-HC43,IF(A44&lt;'Données projet'!$A$270,$GR$205^A44,IF(A44='Données projet'!$A$270,'Données projet'!$B$270,GU43+GT44-HC43)))</f>
        <v>171.69999999999985</v>
      </c>
      <c r="GV44" s="17">
        <f>GU44*VLOOKUP('Données projet'!$B$18,Paramètres!$A$1:$I$89,3,0)*VLOOKUP('Données projet'!$B$18,Paramètres!$A$1:$I$89,5,0)</f>
        <v>136.60451999999989</v>
      </c>
      <c r="GW44" s="13">
        <f t="shared" si="51"/>
        <v>35.518040685530593</v>
      </c>
      <c r="GX44" s="20">
        <f t="shared" si="28"/>
        <v>299.78012652729893</v>
      </c>
      <c r="GY44" s="59">
        <f t="shared" si="29"/>
        <v>593.11345986063225</v>
      </c>
      <c r="GZ44" s="59">
        <f ca="1">AVERAGE(OFFSET($GY$3,0,0,'Données projet'!$E$18+1,1))-AVERAGE(OFFSET($H$3,0,0,'Données projet'!$E$18+1,1))</f>
        <v>199.58763537752952</v>
      </c>
      <c r="HA44" s="59">
        <f t="shared" si="52"/>
        <v>242.62852778451929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0</v>
      </c>
      <c r="HH44" s="21">
        <f>EXP(-LN(2)/25)*HH43+(1-EXP(-LN(2)/25))/(LN(2)/25)*Calculateur!HC44*Calculateur!HE44*VLOOKUP('Données projet'!$B$18,Paramètres!$A$1:$I$89,3,0)*0.475*44/12</f>
        <v>7.5799378354912861</v>
      </c>
      <c r="HI44" s="21">
        <f>EXP(-LN(2)/2)*HI43+(1-EXP(-LN(2)/2))/(LN(2)/2)*HC44*HF44*VLOOKUP('Données projet'!$B$18,Paramètres!$A$1:$I$89,3,0)*0.475*44/12</f>
        <v>0.23779909112440686</v>
      </c>
      <c r="HJ44" s="22">
        <f t="shared" si="30"/>
        <v>7.8177369266156926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8.3000000000000007</v>
      </c>
      <c r="N45" s="13">
        <f>IF('Données projet'!$A$36&gt;35,N44+M45-V44,IF(A45&lt;'Données projet'!$A$36,$K$205^A45,IF(A45='Données projet'!$A$36,'Données projet'!$B$36,N44+M45-V44)))</f>
        <v>132.59999999999997</v>
      </c>
      <c r="O45" s="13">
        <f>N45*VLOOKUP('Données projet'!$B$9,Paramètres!$A$1:$I$89,3,0)*VLOOKUP('Données projet'!$B$9,Paramètres!$A$1:$I$89,5,0)</f>
        <v>119.97647999999997</v>
      </c>
      <c r="P45" s="13">
        <f t="shared" si="33"/>
        <v>31.669513577784763</v>
      </c>
      <c r="Q45" s="20">
        <f t="shared" si="53"/>
        <v>264.11677214797504</v>
      </c>
      <c r="R45" s="59">
        <f t="shared" si="0"/>
        <v>557.45010548130836</v>
      </c>
      <c r="S45" s="59">
        <f ca="1">AVERAGE(OFFSET($R$3,0,0,'Données projet'!$E$9+1,1))-AVERAGE(OFFSET($H$3,0,0,'Données projet'!$E$9+1,1))</f>
        <v>237.22177246688199</v>
      </c>
      <c r="T45" s="59">
        <f t="shared" si="34"/>
        <v>149.27472147904302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2.2268881712272965</v>
      </c>
      <c r="AB45" s="21">
        <f>EXP(-LN(2)/2)*AB44+(1-EXP(-LN(2)/2))/(LN(2)/2)*V45*Y45*VLOOKUP('Données projet'!$B$9,Paramètres!$A$1:$I$89,3,0)*0.475*44/12</f>
        <v>9.6708560225444176E-2</v>
      </c>
      <c r="AC45" s="22">
        <f t="shared" si="3"/>
        <v>2.3235967314527408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8.3000000000000007</v>
      </c>
      <c r="AI45" s="13">
        <f>IF('Données projet'!$A$62&gt;35,AI44+AH45-AQ44,IF(A45&lt;'Données projet'!$A$62,$AF$205^A45,IF(A45='Données projet'!$A$62,'Données projet'!$B$62,AI44+AH45-AQ44)))</f>
        <v>132.59999999999997</v>
      </c>
      <c r="AJ45" s="13">
        <f>AI45*VLOOKUP('Données projet'!$B$10,Paramètres!$A$1:$I$89,3,0)*VLOOKUP('Données projet'!$B$10,Paramètres!$A$1:$I$89,5,0)</f>
        <v>134.45639999999997</v>
      </c>
      <c r="AK45" s="13">
        <f t="shared" si="35"/>
        <v>35.024073835162383</v>
      </c>
      <c r="AL45" s="20">
        <f t="shared" si="4"/>
        <v>295.17849192957436</v>
      </c>
      <c r="AM45" s="59">
        <f t="shared" si="5"/>
        <v>588.51182526290768</v>
      </c>
      <c r="AN45" s="59">
        <f ca="1">AVERAGE(OFFSET($AM$3,0,0,'Données projet'!$E$10+1,1))-AVERAGE(OFFSET($H$3,0,0,'Données projet'!$E$10+1,1))</f>
        <v>279.20364724206644</v>
      </c>
      <c r="AO45" s="59">
        <f t="shared" si="36"/>
        <v>173.99850582760712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2.4956505367202459</v>
      </c>
      <c r="AW45" s="21">
        <f>EXP(-LN(2)/2)*AW44+(1-EXP(-LN(2)/2))/(LN(2)/2)*AQ45*AT45*VLOOKUP('Données projet'!$B$10,Paramètres!$A$1:$I$89,3,0)*0.475*44/12</f>
        <v>0.10838028301127363</v>
      </c>
      <c r="AX45" s="21">
        <f t="shared" si="6"/>
        <v>2.6040308197315194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11.499999999999996</v>
      </c>
      <c r="BD45" s="12">
        <f>IF('Données projet'!$A$88&gt;35,BD44+BC45-BL44,IF(A45&lt;'Données projet'!$A$88,$BA$205^A45,IF(A45='Données projet'!$A$88,'Données projet'!$B$88,BD44+BC45-BL44)))</f>
        <v>231.1999999999999</v>
      </c>
      <c r="BE45" s="13">
        <f>BD45*VLOOKUP('Données projet'!$B$11,Paramètres!$A$1:$I$89,3,0)*VLOOKUP('Données projet'!$B$11,Paramètres!$A$1:$I$89,5,0)</f>
        <v>108.20159999999994</v>
      </c>
      <c r="BF45" s="13">
        <f t="shared" si="37"/>
        <v>28.906861857161235</v>
      </c>
      <c r="BG45" s="20">
        <f t="shared" si="7"/>
        <v>238.79723773455569</v>
      </c>
      <c r="BH45" s="59">
        <f t="shared" si="8"/>
        <v>532.13057106788904</v>
      </c>
      <c r="BI45" s="59">
        <f ca="1">AVERAGE(OFFSET($BH$3,0,0,'Données projet'!$E$11+1,1))-AVERAGE(OFFSET($H$3,0,0,'Données projet'!$E$11+1,1))</f>
        <v>215.23235148064941</v>
      </c>
      <c r="BJ45" s="59">
        <f t="shared" si="38"/>
        <v>184.07239726900434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2.4715494037097008</v>
      </c>
      <c r="BQ45" s="21">
        <f>EXP(-LN(2)/25)*BQ44+(1-EXP(-LN(2)/25))/(LN(2)/25)*Calculateur!BL45*Calculateur!BN45*VLOOKUP('Données projet'!$B$11,Paramètres!$A$1:$I$89,3,0)*0.475*44/12</f>
        <v>5.6321921680049245</v>
      </c>
      <c r="BR45" s="21">
        <f>EXP(-LN(2)/2)*BR44+(1-EXP(-LN(2)/2))/(LN(2)/2)*BL45*BO45*VLOOKUP('Données projet'!$B$11,Paramètres!$A$1:$I$89,3,0)*0.475*44/12</f>
        <v>0.15362775750462487</v>
      </c>
      <c r="BS45" s="22">
        <f t="shared" si="9"/>
        <v>8.2573693292192498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8.3000000000000007</v>
      </c>
      <c r="BY45" s="12">
        <f>IF('Données projet'!$A$114&gt;35,BY44+BX45-CG44,IF(A45&lt;'Données projet'!$A$114,$BV$205^A45,IF(A45='Données projet'!$A$114,'Données projet'!$B$114,BY44+BX45-CG44)))</f>
        <v>132.59999999999997</v>
      </c>
      <c r="BZ45" s="13">
        <f>BY45*VLOOKUP('Données projet'!$B$12,Paramètres!$A$1:$I$89,3,0)*VLOOKUP('Données projet'!$B$12,Paramètres!$A$1:$I$89,5,0)</f>
        <v>142.73063999999997</v>
      </c>
      <c r="CA45" s="13">
        <f t="shared" si="39"/>
        <v>36.921851771122689</v>
      </c>
      <c r="CB45" s="20">
        <f t="shared" si="10"/>
        <v>312.89475650137189</v>
      </c>
      <c r="CC45" s="59">
        <f t="shared" si="11"/>
        <v>606.2280898347052</v>
      </c>
      <c r="CD45" s="59">
        <f ca="1">AVERAGE(OFFSET($CC$3,0,0,'Données projet'!$E$12+1,1))-AVERAGE(OFFSET($H$3,0,0,'Données projet'!$E$12+1,1))</f>
        <v>303.1504619632214</v>
      </c>
      <c r="CE45" s="59">
        <f t="shared" si="40"/>
        <v>188.09929616366503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2.6492290312876454</v>
      </c>
      <c r="CM45" s="21">
        <f>EXP(-LN(2)/2)*CM44+(1-EXP(-LN(2)/2))/(LN(2)/2)*CG45*CJ45*VLOOKUP('Données projet'!$B$12,Paramètres!$A$1:$I$89,3,0)*0.475*44/12</f>
        <v>0.11504983888889057</v>
      </c>
      <c r="CN45" s="22">
        <f t="shared" si="12"/>
        <v>2.7642788701765362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7.7</v>
      </c>
      <c r="CT45" s="12">
        <f>IF('Données projet'!$A$140&gt;35,CT44+CS45-DB44,IF(A45&lt;'Données projet'!$A$140,$CQ$205^A45,IF(A45='Données projet'!$A$140,'Données projet'!$B$140,CT44+CS45-DB44)))</f>
        <v>179.39999999999984</v>
      </c>
      <c r="CU45" s="17">
        <f>CT45*VLOOKUP('Données projet'!$B$13,Paramètres!$A$1:$I$89,3,0)*VLOOKUP('Données projet'!$B$13,Paramètres!$A$1:$I$89,5,0)</f>
        <v>120.34151999999989</v>
      </c>
      <c r="CV45" s="13">
        <f t="shared" si="41"/>
        <v>31.754640046026022</v>
      </c>
      <c r="CW45" s="20">
        <f t="shared" si="13"/>
        <v>264.90081208016181</v>
      </c>
      <c r="CX45" s="59">
        <f t="shared" si="14"/>
        <v>558.23414541349507</v>
      </c>
      <c r="CY45" s="59">
        <f ca="1">AVERAGE(OFFSET($CX$3,0,0,'Données projet'!$E$13+1,1))-AVERAGE(OFFSET($H$3,0,0,'Données projet'!$E$13+1,1))</f>
        <v>156.63226020379989</v>
      </c>
      <c r="CZ45" s="59">
        <f t="shared" si="42"/>
        <v>196.0481096619543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6.2161677172751268</v>
      </c>
      <c r="DH45" s="21">
        <f>EXP(-LN(2)/2)*DH44+(1-EXP(-LN(2)/2))/(LN(2)/2)*DB45*DE45*VLOOKUP('Données projet'!$B$13,Paramètres!$A$1:$I$89,3,0)*0.475*44/12</f>
        <v>0.14177298128323193</v>
      </c>
      <c r="DI45" s="22">
        <f t="shared" si="15"/>
        <v>6.3579406985583589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-8.5265128291212022E-14</v>
      </c>
      <c r="DP45" s="17">
        <f>DO45*VLOOKUP('Données projet'!$B$14,Paramètres!$A$1:$I$89,3,0)*VLOOKUP('Données projet'!$B$14,Paramètres!$A$1:$I$89,5,0)</f>
        <v>-7.7147888077888636E-14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225.28075317732998</v>
      </c>
      <c r="DU45" s="59">
        <f t="shared" si="44"/>
        <v>358.43407531256207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1.7689699357621818</v>
      </c>
      <c r="EB45" s="21">
        <f>EXP(-LN(2)/25)*EB44+(1-EXP(-LN(2)/25))/(LN(2)/25)*Calculateur!DW45*Calculateur!DY45*VLOOKUP('Données projet'!$B$14,Paramètres!$A$1:$I$89,3,0)*0.475*44/12</f>
        <v>5.9308795441290867</v>
      </c>
      <c r="EC45" s="21">
        <f>EXP(-LN(2)/2)*EC44+(1-EXP(-LN(2)/2))/(LN(2)/2)*DW45*DZ45*VLOOKUP('Données projet'!$B$14,Paramètres!$A$1:$I$89,3,0)*0.475*44/12</f>
        <v>6.8969079921398807E-2</v>
      </c>
      <c r="ED45" s="22">
        <f t="shared" si="18"/>
        <v>7.7688185598126669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19.2</v>
      </c>
      <c r="EJ45" s="12">
        <f>IF('Données projet'!$A$192&gt;35,EJ44+EI45-ER44,IF(A45&lt;'Données projet'!$A$192,$EG$205^A45,IF(A45='Données projet'!$A$192,'Données projet'!$B$192,EJ44+EI45-ER44)))</f>
        <v>355.39999999999986</v>
      </c>
      <c r="EK45" s="17">
        <f>EJ45*VLOOKUP('Données projet'!$B$15,Paramètres!$A$1:$I$89,3,0)*VLOOKUP('Données projet'!$B$15,Paramètres!$A$1:$I$89,5,0)</f>
        <v>198.66859999999994</v>
      </c>
      <c r="EL45" s="13">
        <f t="shared" si="45"/>
        <v>49.451452656287465</v>
      </c>
      <c r="EM45" s="20">
        <f t="shared" si="19"/>
        <v>432.14242504303388</v>
      </c>
      <c r="EN45" s="59">
        <f t="shared" si="20"/>
        <v>725.47575837636714</v>
      </c>
      <c r="EO45" s="59">
        <f ca="1">AVERAGE(OFFSET($EN$3,0,0,'Données projet'!$E$15+1,1))-AVERAGE(OFFSET($H$3,0,0,'Données projet'!$E$15+1,1))</f>
        <v>326.31232746914907</v>
      </c>
      <c r="EP45" s="59">
        <f t="shared" si="46"/>
        <v>330.17137761430297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3.6017253474539834</v>
      </c>
      <c r="EW45" s="21">
        <f>EXP(-LN(2)/25)*EW44+(1-EXP(-LN(2)/25))/(LN(2)/25)*Calculateur!ER45*Calculateur!ET45*VLOOKUP('Données projet'!$B$15,Paramètres!$A$1:$I$89,3,0)*0.475*44/12</f>
        <v>21.633328758888428</v>
      </c>
      <c r="EX45" s="21">
        <f>EXP(-LN(2)/2)*EX44+(1-EXP(-LN(2)/2))/(LN(2)/2)*ER45*EU45*VLOOKUP('Données projet'!$B$15,Paramètres!$A$1:$I$89,3,0)*0.475*44/12</f>
        <v>0.50815763078805065</v>
      </c>
      <c r="EY45" s="22">
        <f t="shared" si="21"/>
        <v>25.743211737130462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12.4</v>
      </c>
      <c r="FE45" s="12">
        <f>IF('Données projet'!$A$218&gt;35,FE44+FD45-FM44,IF(A45&lt;'Données projet'!$A$218,$FB$205^A45,IF(A45='Données projet'!$A$218,'Données projet'!$B$218,FE44+FD45-FM44)))</f>
        <v>272.80000000000007</v>
      </c>
      <c r="FF45" s="17">
        <f>FE45*VLOOKUP('Données projet'!$B$16,Paramètres!$A$1:$I$89,3,0)*VLOOKUP('Données projet'!$B$16,Paramètres!$A$1:$I$89,5,0)</f>
        <v>170.22720000000004</v>
      </c>
      <c r="FG45" s="13">
        <f t="shared" si="47"/>
        <v>43.140904871338378</v>
      </c>
      <c r="FH45" s="20">
        <f t="shared" si="22"/>
        <v>371.6161159842477</v>
      </c>
      <c r="FI45" s="59">
        <f t="shared" si="23"/>
        <v>664.94944931758096</v>
      </c>
      <c r="FJ45" s="59">
        <f ca="1">AVERAGE(OFFSET($FI$3,0,0,'Données projet'!$E$16+1,1))-AVERAGE(OFFSET($H$3,0,0,'Données projet'!$E$16+1,1))</f>
        <v>255.41017495879987</v>
      </c>
      <c r="FK45" s="59">
        <f t="shared" si="48"/>
        <v>297.50513563712764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6.5790501061315858</v>
      </c>
      <c r="FR45" s="21">
        <f>EXP(-LN(2)/25)*FR44+(1-EXP(-LN(2)/25))/(LN(2)/25)*Calculateur!FM45*Calculateur!FO45*VLOOKUP('Données projet'!$B$16,Paramètres!$A$1:$I$89,3,0)*0.475*44/12</f>
        <v>19.98207153202987</v>
      </c>
      <c r="FS45" s="21">
        <f>EXP(-LN(2)/2)*FS44+(1-EXP(-LN(2)/2))/(LN(2)/2)*FM45*FP45*VLOOKUP('Données projet'!$B$16,Paramètres!$A$1:$I$89,3,0)*0.475*44/12</f>
        <v>0.38126861151424812</v>
      </c>
      <c r="FT45" s="22">
        <f t="shared" si="24"/>
        <v>26.942390249675704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18.8</v>
      </c>
      <c r="FZ45" s="12">
        <f>IF('Données projet'!$A$244&gt;35,FZ44+FY45-GH44,IF(A45&lt;'Données projet'!$A$244,$FW$205^A45,IF(A45='Données projet'!$A$244,'Données projet'!$B$244,FZ44+FY45-GH44)))</f>
        <v>250.60000000000008</v>
      </c>
      <c r="GA45" s="17">
        <f>FZ45*VLOOKUP('Données projet'!$B$17,Paramètres!$A$1:$I$89,3,0)*VLOOKUP('Données projet'!$B$17,Paramètres!$A$1:$I$89,5,0)</f>
        <v>149.85880000000006</v>
      </c>
      <c r="GB45" s="13">
        <f t="shared" si="49"/>
        <v>38.546495655588949</v>
      </c>
      <c r="GC45" s="20">
        <f t="shared" si="25"/>
        <v>328.13922326681751</v>
      </c>
      <c r="GD45" s="59">
        <f t="shared" si="26"/>
        <v>621.47255660015082</v>
      </c>
      <c r="GE45" s="59">
        <f ca="1">AVERAGE(OFFSET($GD$3,0,0,'Données projet'!$E$17+1,1))-AVERAGE(OFFSET($H$3,0,0,'Données projet'!$E$17+1,1))</f>
        <v>259.30247982593914</v>
      </c>
      <c r="GF45" s="59">
        <f t="shared" si="50"/>
        <v>275.24740346220779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12.929266837385562</v>
      </c>
      <c r="GN45" s="21">
        <f>EXP(-LN(2)/2)*GN44+(1-EXP(-LN(2)/2))/(LN(2)/2)*GH45*GK45*VLOOKUP('Données projet'!$B$17,Paramètres!$A$1:$I$89,3,0)*0.475*44/12</f>
        <v>0.4481323465916412</v>
      </c>
      <c r="GO45" s="21">
        <f t="shared" si="27"/>
        <v>13.377399183977204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7.7</v>
      </c>
      <c r="GU45" s="12">
        <f>IF('Données projet'!$A$270&gt;35,GU44+GT45-HC44,IF(A45&lt;'Données projet'!$A$270,$GR$205^A45,IF(A45='Données projet'!$A$270,'Données projet'!$B$270,GU44+GT45-HC44)))</f>
        <v>179.39999999999984</v>
      </c>
      <c r="GV45" s="17">
        <f>GU45*VLOOKUP('Données projet'!$B$18,Paramètres!$A$1:$I$89,3,0)*VLOOKUP('Données projet'!$B$18,Paramètres!$A$1:$I$89,5,0)</f>
        <v>142.73063999999988</v>
      </c>
      <c r="GW45" s="13">
        <f t="shared" si="51"/>
        <v>36.921851771122689</v>
      </c>
      <c r="GX45" s="20">
        <f t="shared" si="28"/>
        <v>312.89475650137177</v>
      </c>
      <c r="GY45" s="59">
        <f t="shared" si="29"/>
        <v>606.22808983470509</v>
      </c>
      <c r="GZ45" s="59">
        <f ca="1">AVERAGE(OFFSET($GY$3,0,0,'Données projet'!$E$18+1,1))-AVERAGE(OFFSET($H$3,0,0,'Données projet'!$E$18+1,1))</f>
        <v>199.58763537752952</v>
      </c>
      <c r="HA45" s="59">
        <f t="shared" si="52"/>
        <v>242.62852778451929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0</v>
      </c>
      <c r="HH45" s="21">
        <f>EXP(-LN(2)/25)*HH44+(1-EXP(-LN(2)/25))/(LN(2)/25)*Calculateur!HC45*Calculateur!HE45*VLOOKUP('Données projet'!$B$18,Paramètres!$A$1:$I$89,3,0)*0.475*44/12</f>
        <v>7.3726640367681702</v>
      </c>
      <c r="HI45" s="21">
        <f>EXP(-LN(2)/2)*HI44+(1-EXP(-LN(2)/2))/(LN(2)/2)*HC45*HF45*VLOOKUP('Données projet'!$B$18,Paramètres!$A$1:$I$89,3,0)*0.475*44/12</f>
        <v>0.16814934989406585</v>
      </c>
      <c r="HJ45" s="22">
        <f t="shared" si="30"/>
        <v>7.5408133866622364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8.3000000000000007</v>
      </c>
      <c r="N46" s="13">
        <f>IF('Données projet'!$A$36&gt;35,N45+M46-V45,IF(A46&lt;'Données projet'!$A$36,$K$205^A46,IF(A46='Données projet'!$A$36,'Données projet'!$B$36,N45+M46-V45)))</f>
        <v>140.89999999999998</v>
      </c>
      <c r="O46" s="13">
        <f>N46*VLOOKUP('Données projet'!$B$9,Paramètres!$A$1:$I$89,3,0)*VLOOKUP('Données projet'!$B$9,Paramètres!$A$1:$I$89,5,0)</f>
        <v>127.48631999999998</v>
      </c>
      <c r="P46" s="13">
        <f t="shared" si="33"/>
        <v>33.414863287066048</v>
      </c>
      <c r="Q46" s="20">
        <f t="shared" si="53"/>
        <v>280.23622755830667</v>
      </c>
      <c r="R46" s="59">
        <f t="shared" si="0"/>
        <v>573.56956089163998</v>
      </c>
      <c r="S46" s="59">
        <f ca="1">AVERAGE(OFFSET($R$3,0,0,'Données projet'!$E$9+1,1))-AVERAGE(OFFSET($H$3,0,0,'Données projet'!$E$9+1,1))</f>
        <v>237.22177246688199</v>
      </c>
      <c r="T46" s="59">
        <f t="shared" si="34"/>
        <v>149.27472147904302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2.1659937970781269</v>
      </c>
      <c r="AB46" s="21">
        <f>EXP(-LN(2)/2)*AB45+(1-EXP(-LN(2)/2))/(LN(2)/2)*V46*Y46*VLOOKUP('Données projet'!$B$9,Paramètres!$A$1:$I$89,3,0)*0.475*44/12</f>
        <v>6.8383278734199207E-2</v>
      </c>
      <c r="AC46" s="22">
        <f t="shared" si="3"/>
        <v>2.234377075812326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8.3000000000000007</v>
      </c>
      <c r="AI46" s="13">
        <f>IF('Données projet'!$A$62&gt;35,AI45+AH46-AQ45,IF(A46&lt;'Données projet'!$A$62,$AF$205^A46,IF(A46='Données projet'!$A$62,'Données projet'!$B$62,AI45+AH46-AQ45)))</f>
        <v>140.89999999999998</v>
      </c>
      <c r="AJ46" s="13">
        <f>AI46*VLOOKUP('Données projet'!$B$10,Paramètres!$A$1:$I$89,3,0)*VLOOKUP('Données projet'!$B$10,Paramètres!$A$1:$I$89,5,0)</f>
        <v>142.87260000000001</v>
      </c>
      <c r="AK46" s="13">
        <f t="shared" si="35"/>
        <v>36.954297895468954</v>
      </c>
      <c r="AL46" s="20">
        <f t="shared" si="4"/>
        <v>313.19851383460843</v>
      </c>
      <c r="AM46" s="59">
        <f t="shared" si="5"/>
        <v>606.53184716794181</v>
      </c>
      <c r="AN46" s="59">
        <f ca="1">AVERAGE(OFFSET($AM$3,0,0,'Données projet'!$E$10+1,1))-AVERAGE(OFFSET($H$3,0,0,'Données projet'!$E$10+1,1))</f>
        <v>279.20364724206644</v>
      </c>
      <c r="AO46" s="59">
        <f t="shared" si="36"/>
        <v>173.99850582760712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2.427406841553073</v>
      </c>
      <c r="AW46" s="21">
        <f>EXP(-LN(2)/2)*AW45+(1-EXP(-LN(2)/2))/(LN(2)/2)*AQ46*AT46*VLOOKUP('Données projet'!$B$10,Paramètres!$A$1:$I$89,3,0)*0.475*44/12</f>
        <v>7.6636433064188755E-2</v>
      </c>
      <c r="AX46" s="21">
        <f t="shared" si="6"/>
        <v>2.5040432746172616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11.499999999999996</v>
      </c>
      <c r="BD46" s="12">
        <f>IF('Données projet'!$A$88&gt;35,BD45+BC46-BL45,IF(A46&lt;'Données projet'!$A$88,$BA$205^A46,IF(A46='Données projet'!$A$88,'Données projet'!$B$88,BD45+BC46-BL45)))</f>
        <v>242.6999999999999</v>
      </c>
      <c r="BE46" s="13">
        <f>BD46*VLOOKUP('Données projet'!$B$11,Paramètres!$A$1:$I$89,3,0)*VLOOKUP('Données projet'!$B$11,Paramètres!$A$1:$I$89,5,0)</f>
        <v>113.58359999999995</v>
      </c>
      <c r="BF46" s="13">
        <f t="shared" si="37"/>
        <v>30.17372688298952</v>
      </c>
      <c r="BG46" s="20">
        <f t="shared" si="7"/>
        <v>250.37734432120666</v>
      </c>
      <c r="BH46" s="59">
        <f t="shared" si="8"/>
        <v>543.71067765453995</v>
      </c>
      <c r="BI46" s="59">
        <f ca="1">AVERAGE(OFFSET($BH$3,0,0,'Données projet'!$E$11+1,1))-AVERAGE(OFFSET($H$3,0,0,'Données projet'!$E$11+1,1))</f>
        <v>215.23235148064941</v>
      </c>
      <c r="BJ46" s="59">
        <f t="shared" si="38"/>
        <v>184.07239726900434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2.4230838273992368</v>
      </c>
      <c r="BQ46" s="21">
        <f>EXP(-LN(2)/25)*BQ45+(1-EXP(-LN(2)/25))/(LN(2)/25)*Calculateur!BL46*Calculateur!BN46*VLOOKUP('Données projet'!$B$11,Paramètres!$A$1:$I$89,3,0)*0.475*44/12</f>
        <v>5.4781795769867161</v>
      </c>
      <c r="BR46" s="21">
        <f>EXP(-LN(2)/2)*BR45+(1-EXP(-LN(2)/2))/(LN(2)/2)*BL46*BO46*VLOOKUP('Données projet'!$B$11,Paramètres!$A$1:$I$89,3,0)*0.475*44/12</f>
        <v>0.10863122911000277</v>
      </c>
      <c r="BS46" s="22">
        <f t="shared" si="9"/>
        <v>8.0098946334959553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8.3000000000000007</v>
      </c>
      <c r="BY46" s="12">
        <f>IF('Données projet'!$A$114&gt;35,BY45+BX46-CG45,IF(A46&lt;'Données projet'!$A$114,$BV$205^A46,IF(A46='Données projet'!$A$114,'Données projet'!$B$114,BY45+BX46-CG45)))</f>
        <v>140.89999999999998</v>
      </c>
      <c r="BZ46" s="13">
        <f>BY46*VLOOKUP('Données projet'!$B$12,Paramètres!$A$1:$I$89,3,0)*VLOOKUP('Données projet'!$B$12,Paramètres!$A$1:$I$89,5,0)</f>
        <v>151.66475999999997</v>
      </c>
      <c r="CA46" s="13">
        <f t="shared" si="39"/>
        <v>38.956664939205524</v>
      </c>
      <c r="CB46" s="20">
        <f t="shared" si="10"/>
        <v>331.9989817691162</v>
      </c>
      <c r="CC46" s="59">
        <f t="shared" si="11"/>
        <v>625.33231510244946</v>
      </c>
      <c r="CD46" s="59">
        <f ca="1">AVERAGE(OFFSET($CC$3,0,0,'Données projet'!$E$12+1,1))-AVERAGE(OFFSET($H$3,0,0,'Données projet'!$E$12+1,1))</f>
        <v>303.1504619632214</v>
      </c>
      <c r="CE46" s="59">
        <f t="shared" si="40"/>
        <v>188.09929616366503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2.5767857241101848</v>
      </c>
      <c r="CM46" s="21">
        <f>EXP(-LN(2)/2)*CM45+(1-EXP(-LN(2)/2))/(LN(2)/2)*CG46*CJ46*VLOOKUP('Données projet'!$B$12,Paramètres!$A$1:$I$89,3,0)*0.475*44/12</f>
        <v>8.1352521252754301E-2</v>
      </c>
      <c r="CN46" s="22">
        <f t="shared" si="12"/>
        <v>2.658138245362939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7.7</v>
      </c>
      <c r="CT46" s="12">
        <f>IF('Données projet'!$A$140&gt;35,CT45+CS46-DB45,IF(A46&lt;'Données projet'!$A$140,$CQ$205^A46,IF(A46='Données projet'!$A$140,'Données projet'!$B$140,CT45+CS46-DB45)))</f>
        <v>187.09999999999982</v>
      </c>
      <c r="CU46" s="17">
        <f>CT46*VLOOKUP('Données projet'!$B$13,Paramètres!$A$1:$I$89,3,0)*VLOOKUP('Données projet'!$B$13,Paramètres!$A$1:$I$89,5,0)</f>
        <v>125.50667999999988</v>
      </c>
      <c r="CV46" s="13">
        <f t="shared" si="41"/>
        <v>32.95596902227328</v>
      </c>
      <c r="CW46" s="20">
        <f t="shared" si="13"/>
        <v>275.98911371379239</v>
      </c>
      <c r="CX46" s="59">
        <f t="shared" si="14"/>
        <v>569.32244704712571</v>
      </c>
      <c r="CY46" s="59">
        <f ca="1">AVERAGE(OFFSET($CX$3,0,0,'Données projet'!$E$13+1,1))-AVERAGE(OFFSET($H$3,0,0,'Données projet'!$E$13+1,1))</f>
        <v>156.63226020379989</v>
      </c>
      <c r="CZ46" s="59">
        <f t="shared" si="42"/>
        <v>196.0481096619543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6.0461862841521858</v>
      </c>
      <c r="DH46" s="21">
        <f>EXP(-LN(2)/2)*DH45+(1-EXP(-LN(2)/2))/(LN(2)/2)*DB46*DE46*VLOOKUP('Données projet'!$B$13,Paramètres!$A$1:$I$89,3,0)*0.475*44/12</f>
        <v>0.10024863645440678</v>
      </c>
      <c r="DI46" s="22">
        <f t="shared" si="15"/>
        <v>6.1464349206065929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-8.5265128291212022E-14</v>
      </c>
      <c r="DP46" s="17">
        <f>DO46*VLOOKUP('Données projet'!$B$14,Paramètres!$A$1:$I$89,3,0)*VLOOKUP('Données projet'!$B$14,Paramètres!$A$1:$I$89,5,0)</f>
        <v>-7.7147888077888636E-14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225.28075317732998</v>
      </c>
      <c r="DU46" s="59">
        <f t="shared" si="44"/>
        <v>358.43407531256207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1.7342815142870072</v>
      </c>
      <c r="EB46" s="21">
        <f>EXP(-LN(2)/25)*EB45+(1-EXP(-LN(2)/25))/(LN(2)/25)*Calculateur!DW46*Calculateur!DY46*VLOOKUP('Données projet'!$B$14,Paramètres!$A$1:$I$89,3,0)*0.475*44/12</f>
        <v>5.7686993311034769</v>
      </c>
      <c r="EC46" s="21">
        <f>EXP(-LN(2)/2)*EC45+(1-EXP(-LN(2)/2))/(LN(2)/2)*DW46*DZ46*VLOOKUP('Données projet'!$B$14,Paramètres!$A$1:$I$89,3,0)*0.475*44/12</f>
        <v>4.8768504104618055E-2</v>
      </c>
      <c r="ED46" s="22">
        <f t="shared" si="18"/>
        <v>7.5517493494951022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19.2</v>
      </c>
      <c r="EJ46" s="12">
        <f>IF('Données projet'!$A$192&gt;35,EJ45+EI46-ER45,IF(A46&lt;'Données projet'!$A$192,$EG$205^A46,IF(A46='Données projet'!$A$192,'Données projet'!$B$192,EJ45+EI46-ER45)))</f>
        <v>374.59999999999985</v>
      </c>
      <c r="EK46" s="17">
        <f>EJ46*VLOOKUP('Données projet'!$B$15,Paramètres!$A$1:$I$89,3,0)*VLOOKUP('Données projet'!$B$15,Paramètres!$A$1:$I$89,5,0)</f>
        <v>209.40139999999994</v>
      </c>
      <c r="EL46" s="13">
        <f t="shared" si="45"/>
        <v>51.804754813749405</v>
      </c>
      <c r="EM46" s="20">
        <f t="shared" si="19"/>
        <v>454.93405296728002</v>
      </c>
      <c r="EN46" s="59">
        <f t="shared" si="20"/>
        <v>748.26738630061334</v>
      </c>
      <c r="EO46" s="59">
        <f ca="1">AVERAGE(OFFSET($EN$3,0,0,'Données projet'!$E$15+1,1))-AVERAGE(OFFSET($H$3,0,0,'Données projet'!$E$15+1,1))</f>
        <v>326.31232746914907</v>
      </c>
      <c r="EP46" s="59">
        <f t="shared" si="46"/>
        <v>330.17137761430297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3.5310977102259531</v>
      </c>
      <c r="EW46" s="21">
        <f>EXP(-LN(2)/25)*EW45+(1-EXP(-LN(2)/25))/(LN(2)/25)*Calculateur!ER46*Calculateur!ET46*VLOOKUP('Données projet'!$B$15,Paramètres!$A$1:$I$89,3,0)*0.475*44/12</f>
        <v>21.041764246329308</v>
      </c>
      <c r="EX46" s="21">
        <f>EXP(-LN(2)/2)*EX45+(1-EXP(-LN(2)/2))/(LN(2)/2)*ER46*EU46*VLOOKUP('Données projet'!$B$15,Paramètres!$A$1:$I$89,3,0)*0.475*44/12</f>
        <v>0.35932170664192054</v>
      </c>
      <c r="EY46" s="22">
        <f t="shared" si="21"/>
        <v>24.932183663197183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12.4</v>
      </c>
      <c r="FE46" s="12">
        <f>IF('Données projet'!$A$218&gt;35,FE45+FD46-FM45,IF(A46&lt;'Données projet'!$A$218,$FB$205^A46,IF(A46='Données projet'!$A$218,'Données projet'!$B$218,FE45+FD46-FM45)))</f>
        <v>285.20000000000005</v>
      </c>
      <c r="FF46" s="17">
        <f>FE46*VLOOKUP('Données projet'!$B$16,Paramètres!$A$1:$I$89,3,0)*VLOOKUP('Données projet'!$B$16,Paramètres!$A$1:$I$89,5,0)</f>
        <v>177.96480000000003</v>
      </c>
      <c r="FG46" s="13">
        <f t="shared" si="47"/>
        <v>44.869092441133326</v>
      </c>
      <c r="FH46" s="20">
        <f t="shared" si="22"/>
        <v>388.10236266830719</v>
      </c>
      <c r="FI46" s="59">
        <f t="shared" si="23"/>
        <v>681.43569600164051</v>
      </c>
      <c r="FJ46" s="59">
        <f ca="1">AVERAGE(OFFSET($FI$3,0,0,'Données projet'!$E$16+1,1))-AVERAGE(OFFSET($H$3,0,0,'Données projet'!$E$16+1,1))</f>
        <v>255.41017495879987</v>
      </c>
      <c r="FK46" s="59">
        <f t="shared" si="48"/>
        <v>297.50513563712764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6.4500389463746766</v>
      </c>
      <c r="FR46" s="21">
        <f>EXP(-LN(2)/25)*FR45+(1-EXP(-LN(2)/25))/(LN(2)/25)*Calculateur!FM46*Calculateur!FO46*VLOOKUP('Données projet'!$B$16,Paramètres!$A$1:$I$89,3,0)*0.475*44/12</f>
        <v>19.435660735175041</v>
      </c>
      <c r="FS46" s="21">
        <f>EXP(-LN(2)/2)*FS45+(1-EXP(-LN(2)/2))/(LN(2)/2)*FM46*FP46*VLOOKUP('Données projet'!$B$16,Paramètres!$A$1:$I$89,3,0)*0.475*44/12</f>
        <v>0.26959762065530424</v>
      </c>
      <c r="FT46" s="22">
        <f t="shared" si="24"/>
        <v>26.155297302205021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18.8</v>
      </c>
      <c r="FZ46" s="12">
        <f>IF('Données projet'!$A$244&gt;35,FZ45+FY46-GH45,IF(A46&lt;'Données projet'!$A$244,$FW$205^A46,IF(A46='Données projet'!$A$244,'Données projet'!$B$244,FZ45+FY46-GH45)))</f>
        <v>269.40000000000009</v>
      </c>
      <c r="GA46" s="17">
        <f>FZ46*VLOOKUP('Données projet'!$B$17,Paramètres!$A$1:$I$89,3,0)*VLOOKUP('Données projet'!$B$17,Paramètres!$A$1:$I$89,5,0)</f>
        <v>161.10120000000006</v>
      </c>
      <c r="GB46" s="13">
        <f t="shared" si="49"/>
        <v>41.090794903447133</v>
      </c>
      <c r="GC46" s="20">
        <f t="shared" si="25"/>
        <v>352.15105779017057</v>
      </c>
      <c r="GD46" s="59">
        <f t="shared" si="26"/>
        <v>645.48439112350388</v>
      </c>
      <c r="GE46" s="59">
        <f ca="1">AVERAGE(OFFSET($GD$3,0,0,'Données projet'!$E$17+1,1))-AVERAGE(OFFSET($H$3,0,0,'Données projet'!$E$17+1,1))</f>
        <v>259.30247982593914</v>
      </c>
      <c r="GF46" s="59">
        <f t="shared" si="50"/>
        <v>275.24740346220779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12.57571535579666</v>
      </c>
      <c r="GN46" s="21">
        <f>EXP(-LN(2)/2)*GN45+(1-EXP(-LN(2)/2))/(LN(2)/2)*GH46*GK46*VLOOKUP('Données projet'!$B$17,Paramètres!$A$1:$I$89,3,0)*0.475*44/12</f>
        <v>0.3168774211439897</v>
      </c>
      <c r="GO46" s="21">
        <f t="shared" si="27"/>
        <v>12.892592776940649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7.7</v>
      </c>
      <c r="GU46" s="12">
        <f>IF('Données projet'!$A$270&gt;35,GU45+GT46-HC45,IF(A46&lt;'Données projet'!$A$270,$GR$205^A46,IF(A46='Données projet'!$A$270,'Données projet'!$B$270,GU45+GT46-HC45)))</f>
        <v>187.09999999999982</v>
      </c>
      <c r="GV46" s="17">
        <f>GU46*VLOOKUP('Données projet'!$B$18,Paramètres!$A$1:$I$89,3,0)*VLOOKUP('Données projet'!$B$18,Paramètres!$A$1:$I$89,5,0)</f>
        <v>148.85675999999987</v>
      </c>
      <c r="GW46" s="13">
        <f t="shared" si="51"/>
        <v>38.318664656580218</v>
      </c>
      <c r="GX46" s="20">
        <f t="shared" si="28"/>
        <v>325.9971979435436</v>
      </c>
      <c r="GY46" s="59">
        <f t="shared" si="29"/>
        <v>619.33053127687685</v>
      </c>
      <c r="GZ46" s="59">
        <f ca="1">AVERAGE(OFFSET($GY$3,0,0,'Données projet'!$E$18+1,1))-AVERAGE(OFFSET($H$3,0,0,'Données projet'!$E$18+1,1))</f>
        <v>199.58763537752952</v>
      </c>
      <c r="HA46" s="59">
        <f t="shared" si="52"/>
        <v>242.62852778451929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0</v>
      </c>
      <c r="HH46" s="21">
        <f>EXP(-LN(2)/25)*HH45+(1-EXP(-LN(2)/25))/(LN(2)/25)*Calculateur!HC46*Calculateur!HE46*VLOOKUP('Données projet'!$B$18,Paramètres!$A$1:$I$89,3,0)*0.475*44/12</f>
        <v>7.1710581509711933</v>
      </c>
      <c r="HI46" s="21">
        <f>EXP(-LN(2)/2)*HI45+(1-EXP(-LN(2)/2))/(LN(2)/2)*HC46*HF46*VLOOKUP('Données projet'!$B$18,Paramètres!$A$1:$I$89,3,0)*0.475*44/12</f>
        <v>0.11889954556220345</v>
      </c>
      <c r="HJ46" s="22">
        <f t="shared" si="30"/>
        <v>7.2899576965333965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8.3000000000000007</v>
      </c>
      <c r="N47" s="13">
        <f>IF('Données projet'!$A$36&gt;35,N46+M47-V46,IF(A47&lt;'Données projet'!$A$36,$K$205^A47,IF(A47='Données projet'!$A$36,'Données projet'!$B$36,N46+M47-V46)))</f>
        <v>149.19999999999999</v>
      </c>
      <c r="O47" s="13">
        <f>N47*VLOOKUP('Données projet'!$B$9,Paramètres!$A$1:$I$89,3,0)*VLOOKUP('Données projet'!$B$9,Paramètres!$A$1:$I$89,5,0)</f>
        <v>134.99615999999997</v>
      </c>
      <c r="P47" s="13">
        <f t="shared" si="33"/>
        <v>35.148279172043118</v>
      </c>
      <c r="Q47" s="20">
        <f t="shared" si="53"/>
        <v>296.33489822464168</v>
      </c>
      <c r="R47" s="59">
        <f t="shared" si="0"/>
        <v>589.66823155797499</v>
      </c>
      <c r="S47" s="59">
        <f ca="1">AVERAGE(OFFSET($R$3,0,0,'Données projet'!$E$9+1,1))-AVERAGE(OFFSET($H$3,0,0,'Données projet'!$E$9+1,1))</f>
        <v>237.22177246688199</v>
      </c>
      <c r="T47" s="59">
        <f t="shared" si="34"/>
        <v>149.27472147904302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2.106764582792362</v>
      </c>
      <c r="AB47" s="21">
        <f>EXP(-LN(2)/2)*AB46+(1-EXP(-LN(2)/2))/(LN(2)/2)*V47*Y47*VLOOKUP('Données projet'!$B$9,Paramètres!$A$1:$I$89,3,0)*0.475*44/12</f>
        <v>4.8354280112722088E-2</v>
      </c>
      <c r="AC47" s="22">
        <f t="shared" si="3"/>
        <v>2.1551188629050841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8.3000000000000007</v>
      </c>
      <c r="AI47" s="13">
        <f>IF('Données projet'!$A$62&gt;35,AI46+AH47-AQ46,IF(A47&lt;'Données projet'!$A$62,$AF$205^A47,IF(A47='Données projet'!$A$62,'Données projet'!$B$62,AI46+AH47-AQ46)))</f>
        <v>149.19999999999999</v>
      </c>
      <c r="AJ47" s="13">
        <f>AI47*VLOOKUP('Données projet'!$B$10,Paramètres!$A$1:$I$89,3,0)*VLOOKUP('Données projet'!$B$10,Paramètres!$A$1:$I$89,5,0)</f>
        <v>151.28879999999998</v>
      </c>
      <c r="AK47" s="13">
        <f t="shared" si="35"/>
        <v>38.871324053555178</v>
      </c>
      <c r="AL47" s="20">
        <f t="shared" si="4"/>
        <v>331.19554939327526</v>
      </c>
      <c r="AM47" s="59">
        <f t="shared" si="5"/>
        <v>624.52888272660857</v>
      </c>
      <c r="AN47" s="59">
        <f ca="1">AVERAGE(OFFSET($AM$3,0,0,'Données projet'!$E$10+1,1))-AVERAGE(OFFSET($H$3,0,0,'Données projet'!$E$10+1,1))</f>
        <v>279.20364724206644</v>
      </c>
      <c r="AO47" s="59">
        <f t="shared" si="36"/>
        <v>173.99850582760712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2.3610292738190264</v>
      </c>
      <c r="AW47" s="21">
        <f>EXP(-LN(2)/2)*AW46+(1-EXP(-LN(2)/2))/(LN(2)/2)*AQ47*AT47*VLOOKUP('Données projet'!$B$10,Paramètres!$A$1:$I$89,3,0)*0.475*44/12</f>
        <v>5.4190141505636814E-2</v>
      </c>
      <c r="AX47" s="21">
        <f t="shared" si="6"/>
        <v>2.4152194153246631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11.499999999999996</v>
      </c>
      <c r="BD47" s="12">
        <f>IF('Données projet'!$A$88&gt;35,BD46+BC47-BL46,IF(A47&lt;'Données projet'!$A$88,$BA$205^A47,IF(A47='Données projet'!$A$88,'Données projet'!$B$88,BD46+BC47-BL46)))</f>
        <v>254.1999999999999</v>
      </c>
      <c r="BE47" s="13">
        <f>BD47*VLOOKUP('Données projet'!$B$11,Paramètres!$A$1:$I$89,3,0)*VLOOKUP('Données projet'!$B$11,Paramètres!$A$1:$I$89,5,0)</f>
        <v>118.96559999999995</v>
      </c>
      <c r="BF47" s="13">
        <f t="shared" si="37"/>
        <v>31.433621056182272</v>
      </c>
      <c r="BG47" s="20">
        <f t="shared" si="7"/>
        <v>261.945310006184</v>
      </c>
      <c r="BH47" s="59">
        <f t="shared" si="8"/>
        <v>555.27864333951732</v>
      </c>
      <c r="BI47" s="59">
        <f ca="1">AVERAGE(OFFSET($BH$3,0,0,'Données projet'!$E$11+1,1))-AVERAGE(OFFSET($H$3,0,0,'Données projet'!$E$11+1,1))</f>
        <v>215.23235148064941</v>
      </c>
      <c r="BJ47" s="59">
        <f t="shared" si="38"/>
        <v>184.07239726900434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2.3755686314791387</v>
      </c>
      <c r="BQ47" s="21">
        <f>EXP(-LN(2)/25)*BQ46+(1-EXP(-LN(2)/25))/(LN(2)/25)*Calculateur!BL47*Calculateur!BN47*VLOOKUP('Données projet'!$B$11,Paramètres!$A$1:$I$89,3,0)*0.475*44/12</f>
        <v>5.3283784683690714</v>
      </c>
      <c r="BR47" s="21">
        <f>EXP(-LN(2)/2)*BR46+(1-EXP(-LN(2)/2))/(LN(2)/2)*BL47*BO47*VLOOKUP('Données projet'!$B$11,Paramètres!$A$1:$I$89,3,0)*0.475*44/12</f>
        <v>7.6813878752312437E-2</v>
      </c>
      <c r="BS47" s="22">
        <f t="shared" si="9"/>
        <v>7.7807609786005223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8.3000000000000007</v>
      </c>
      <c r="BY47" s="12">
        <f>IF('Données projet'!$A$114&gt;35,BY46+BX47-CG46,IF(A47&lt;'Données projet'!$A$114,$BV$205^A47,IF(A47='Données projet'!$A$114,'Données projet'!$B$114,BY46+BX47-CG46)))</f>
        <v>149.19999999999999</v>
      </c>
      <c r="BZ47" s="13">
        <f>BY47*VLOOKUP('Données projet'!$B$12,Paramètres!$A$1:$I$89,3,0)*VLOOKUP('Données projet'!$B$12,Paramètres!$A$1:$I$89,5,0)</f>
        <v>160.59887999999998</v>
      </c>
      <c r="CA47" s="13">
        <f t="shared" si="39"/>
        <v>40.97756507730324</v>
      </c>
      <c r="CB47" s="20">
        <f t="shared" si="10"/>
        <v>351.07897517630312</v>
      </c>
      <c r="CC47" s="59">
        <f t="shared" si="11"/>
        <v>644.41230850963643</v>
      </c>
      <c r="CD47" s="59">
        <f ca="1">AVERAGE(OFFSET($CC$3,0,0,'Données projet'!$E$12+1,1))-AVERAGE(OFFSET($H$3,0,0,'Données projet'!$E$12+1,1))</f>
        <v>303.1504619632214</v>
      </c>
      <c r="CE47" s="59">
        <f t="shared" si="40"/>
        <v>188.09929616366503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2.5063233829771199</v>
      </c>
      <c r="CM47" s="21">
        <f>EXP(-LN(2)/2)*CM46+(1-EXP(-LN(2)/2))/(LN(2)/2)*CG47*CJ47*VLOOKUP('Données projet'!$B$12,Paramètres!$A$1:$I$89,3,0)*0.475*44/12</f>
        <v>5.7524919444445294E-2</v>
      </c>
      <c r="CN47" s="22">
        <f t="shared" si="12"/>
        <v>2.5638483024215653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7.7</v>
      </c>
      <c r="CT47" s="12">
        <f>IF('Données projet'!$A$140&gt;35,CT46+CS47-DB46,IF(A47&lt;'Données projet'!$A$140,$CQ$205^A47,IF(A47='Données projet'!$A$140,'Données projet'!$B$140,CT46+CS47-DB46)))</f>
        <v>194.79999999999981</v>
      </c>
      <c r="CU47" s="17">
        <f>CT47*VLOOKUP('Données projet'!$B$13,Paramètres!$A$1:$I$89,3,0)*VLOOKUP('Données projet'!$B$13,Paramètres!$A$1:$I$89,5,0)</f>
        <v>130.67183999999989</v>
      </c>
      <c r="CV47" s="13">
        <f t="shared" si="41"/>
        <v>34.151555226731247</v>
      </c>
      <c r="CW47" s="20">
        <f t="shared" si="13"/>
        <v>287.0674133532234</v>
      </c>
      <c r="CX47" s="59">
        <f t="shared" si="14"/>
        <v>580.40074668655666</v>
      </c>
      <c r="CY47" s="59">
        <f ca="1">AVERAGE(OFFSET($CX$3,0,0,'Données projet'!$E$13+1,1))-AVERAGE(OFFSET($H$3,0,0,'Données projet'!$E$13+1,1))</f>
        <v>156.63226020379989</v>
      </c>
      <c r="CZ47" s="59">
        <f t="shared" si="42"/>
        <v>196.0481096619543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5.8808530022569263</v>
      </c>
      <c r="DH47" s="21">
        <f>EXP(-LN(2)/2)*DH46+(1-EXP(-LN(2)/2))/(LN(2)/2)*DB47*DE47*VLOOKUP('Données projet'!$B$13,Paramètres!$A$1:$I$89,3,0)*0.475*44/12</f>
        <v>7.0886490641615965E-2</v>
      </c>
      <c r="DI47" s="22">
        <f t="shared" si="15"/>
        <v>5.9517394928985423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-8.5265128291212022E-14</v>
      </c>
      <c r="DP47" s="17">
        <f>DO47*VLOOKUP('Données projet'!$B$14,Paramètres!$A$1:$I$89,3,0)*VLOOKUP('Données projet'!$B$14,Paramètres!$A$1:$I$89,5,0)</f>
        <v>-7.7147888077888636E-14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225.28075317732998</v>
      </c>
      <c r="DU47" s="59">
        <f t="shared" si="44"/>
        <v>358.43407531256207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1.7002733115991129</v>
      </c>
      <c r="EB47" s="21">
        <f>EXP(-LN(2)/25)*EB46+(1-EXP(-LN(2)/25))/(LN(2)/25)*Calculateur!DW47*Calculateur!DY47*VLOOKUP('Données projet'!$B$14,Paramètres!$A$1:$I$89,3,0)*0.475*44/12</f>
        <v>5.6109539445317393</v>
      </c>
      <c r="EC47" s="21">
        <f>EXP(-LN(2)/2)*EC46+(1-EXP(-LN(2)/2))/(LN(2)/2)*DW47*DZ47*VLOOKUP('Données projet'!$B$14,Paramètres!$A$1:$I$89,3,0)*0.475*44/12</f>
        <v>3.4484539960699404E-2</v>
      </c>
      <c r="ED47" s="22">
        <f t="shared" si="18"/>
        <v>7.3457117960915514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19.2</v>
      </c>
      <c r="EJ47" s="12">
        <f>IF('Données projet'!$A$192&gt;35,EJ46+EI47-ER46,IF(A47&lt;'Données projet'!$A$192,$EG$205^A47,IF(A47='Données projet'!$A$192,'Données projet'!$B$192,EJ46+EI47-ER46)))</f>
        <v>393.79999999999984</v>
      </c>
      <c r="EK47" s="17">
        <f>EJ47*VLOOKUP('Données projet'!$B$15,Paramètres!$A$1:$I$89,3,0)*VLOOKUP('Données projet'!$B$15,Paramètres!$A$1:$I$89,5,0)</f>
        <v>220.13419999999991</v>
      </c>
      <c r="EL47" s="13">
        <f t="shared" si="45"/>
        <v>54.144052392262886</v>
      </c>
      <c r="EM47" s="20">
        <f t="shared" si="19"/>
        <v>477.701289583191</v>
      </c>
      <c r="EN47" s="59">
        <f t="shared" si="20"/>
        <v>771.03462291652431</v>
      </c>
      <c r="EO47" s="59">
        <f ca="1">AVERAGE(OFFSET($EN$3,0,0,'Données projet'!$E$15+1,1))-AVERAGE(OFFSET($H$3,0,0,'Données projet'!$E$15+1,1))</f>
        <v>326.31232746914907</v>
      </c>
      <c r="EP47" s="59">
        <f t="shared" si="46"/>
        <v>330.17137761430297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3.4618550378853596</v>
      </c>
      <c r="EW47" s="21">
        <f>EXP(-LN(2)/25)*EW46+(1-EXP(-LN(2)/25))/(LN(2)/25)*Calculateur!ER47*Calculateur!ET47*VLOOKUP('Données projet'!$B$15,Paramètres!$A$1:$I$89,3,0)*0.475*44/12</f>
        <v>20.466376096475141</v>
      </c>
      <c r="EX47" s="21">
        <f>EXP(-LN(2)/2)*EX46+(1-EXP(-LN(2)/2))/(LN(2)/2)*ER47*EU47*VLOOKUP('Données projet'!$B$15,Paramètres!$A$1:$I$89,3,0)*0.475*44/12</f>
        <v>0.25407881539402533</v>
      </c>
      <c r="EY47" s="22">
        <f t="shared" si="21"/>
        <v>24.182309949754526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12.4</v>
      </c>
      <c r="FE47" s="12">
        <f>IF('Données projet'!$A$218&gt;35,FE46+FD47-FM46,IF(A47&lt;'Données projet'!$A$218,$FB$205^A47,IF(A47='Données projet'!$A$218,'Données projet'!$B$218,FE46+FD47-FM46)))</f>
        <v>297.60000000000002</v>
      </c>
      <c r="FF47" s="17">
        <f>FE47*VLOOKUP('Données projet'!$B$16,Paramètres!$A$1:$I$89,3,0)*VLOOKUP('Données projet'!$B$16,Paramètres!$A$1:$I$89,5,0)</f>
        <v>185.70240000000001</v>
      </c>
      <c r="FG47" s="13">
        <f t="shared" si="47"/>
        <v>46.588553069776829</v>
      </c>
      <c r="FH47" s="20">
        <f t="shared" si="22"/>
        <v>404.57340992986133</v>
      </c>
      <c r="FI47" s="59">
        <f t="shared" si="23"/>
        <v>697.90674326319458</v>
      </c>
      <c r="FJ47" s="59">
        <f ca="1">AVERAGE(OFFSET($FI$3,0,0,'Données projet'!$E$16+1,1))-AVERAGE(OFFSET($H$3,0,0,'Données projet'!$E$16+1,1))</f>
        <v>255.41017495879987</v>
      </c>
      <c r="FK47" s="59">
        <f t="shared" si="48"/>
        <v>297.50513563712764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6.3235576167715628</v>
      </c>
      <c r="FR47" s="21">
        <f>EXP(-LN(2)/25)*FR46+(1-EXP(-LN(2)/25))/(LN(2)/25)*Calculateur!FM47*Calculateur!FO47*VLOOKUP('Données projet'!$B$16,Paramètres!$A$1:$I$89,3,0)*0.475*44/12</f>
        <v>18.904191570294703</v>
      </c>
      <c r="FS47" s="21">
        <f>EXP(-LN(2)/2)*FS46+(1-EXP(-LN(2)/2))/(LN(2)/2)*FM47*FP47*VLOOKUP('Données projet'!$B$16,Paramètres!$A$1:$I$89,3,0)*0.475*44/12</f>
        <v>0.19063430575712406</v>
      </c>
      <c r="FT47" s="22">
        <f t="shared" si="24"/>
        <v>25.418383492823391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18.8</v>
      </c>
      <c r="FZ47" s="12">
        <f>IF('Données projet'!$A$244&gt;35,FZ46+FY47-GH46,IF(A47&lt;'Données projet'!$A$244,$FW$205^A47,IF(A47='Données projet'!$A$244,'Données projet'!$B$244,FZ46+FY47-GH46)))</f>
        <v>288.2000000000001</v>
      </c>
      <c r="GA47" s="17">
        <f>FZ47*VLOOKUP('Données projet'!$B$17,Paramètres!$A$1:$I$89,3,0)*VLOOKUP('Données projet'!$B$17,Paramètres!$A$1:$I$89,5,0)</f>
        <v>172.34360000000009</v>
      </c>
      <c r="GB47" s="13">
        <f t="shared" si="49"/>
        <v>43.614493030708267</v>
      </c>
      <c r="GC47" s="20">
        <f t="shared" si="25"/>
        <v>376.12701202848376</v>
      </c>
      <c r="GD47" s="59">
        <f t="shared" si="26"/>
        <v>669.46034536181708</v>
      </c>
      <c r="GE47" s="59">
        <f ca="1">AVERAGE(OFFSET($GD$3,0,0,'Données projet'!$E$17+1,1))-AVERAGE(OFFSET($H$3,0,0,'Données projet'!$E$17+1,1))</f>
        <v>259.30247982593914</v>
      </c>
      <c r="GF47" s="59">
        <f t="shared" si="50"/>
        <v>275.24740346220779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12.231831758064272</v>
      </c>
      <c r="GN47" s="21">
        <f>EXP(-LN(2)/2)*GN46+(1-EXP(-LN(2)/2))/(LN(2)/2)*GH47*GK47*VLOOKUP('Données projet'!$B$17,Paramètres!$A$1:$I$89,3,0)*0.475*44/12</f>
        <v>0.2240661732958206</v>
      </c>
      <c r="GO47" s="21">
        <f t="shared" si="27"/>
        <v>12.455897931360093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7.7</v>
      </c>
      <c r="GU47" s="12">
        <f>IF('Données projet'!$A$270&gt;35,GU46+GT47-HC46,IF(A47&lt;'Données projet'!$A$270,$GR$205^A47,IF(A47='Données projet'!$A$270,'Données projet'!$B$270,GU46+GT47-HC46)))</f>
        <v>194.79999999999981</v>
      </c>
      <c r="GV47" s="17">
        <f>GU47*VLOOKUP('Données projet'!$B$18,Paramètres!$A$1:$I$89,3,0)*VLOOKUP('Données projet'!$B$18,Paramètres!$A$1:$I$89,5,0)</f>
        <v>154.98287999999985</v>
      </c>
      <c r="GW47" s="13">
        <f t="shared" si="51"/>
        <v>39.708800288935478</v>
      </c>
      <c r="GX47" s="20">
        <f t="shared" si="28"/>
        <v>339.08800983656238</v>
      </c>
      <c r="GY47" s="59">
        <f t="shared" si="29"/>
        <v>632.42134316989564</v>
      </c>
      <c r="GZ47" s="59">
        <f ca="1">AVERAGE(OFFSET($GY$3,0,0,'Données projet'!$E$18+1,1))-AVERAGE(OFFSET($H$3,0,0,'Données projet'!$E$18+1,1))</f>
        <v>199.58763537752952</v>
      </c>
      <c r="HA47" s="59">
        <f t="shared" si="52"/>
        <v>242.62852778451929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0</v>
      </c>
      <c r="HH47" s="21">
        <f>EXP(-LN(2)/25)*HH46+(1-EXP(-LN(2)/25))/(LN(2)/25)*Calculateur!HC47*Calculateur!HE47*VLOOKUP('Données projet'!$B$18,Paramètres!$A$1:$I$89,3,0)*0.475*44/12</f>
        <v>6.9749651887233277</v>
      </c>
      <c r="HI47" s="21">
        <f>EXP(-LN(2)/2)*HI46+(1-EXP(-LN(2)/2))/(LN(2)/2)*HC47*HF47*VLOOKUP('Données projet'!$B$18,Paramètres!$A$1:$I$89,3,0)*0.475*44/12</f>
        <v>8.407467494703294E-2</v>
      </c>
      <c r="HJ47" s="22">
        <f t="shared" si="30"/>
        <v>7.0590398636703604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8.3000000000000007</v>
      </c>
      <c r="N48" s="13">
        <f>IF('Données projet'!$A$36&gt;35,N47+M48-V47,IF(A48&lt;'Données projet'!$A$36,$K$205^A48,IF(A48='Données projet'!$A$36,'Données projet'!$B$36,N47+M48-V47)))</f>
        <v>157.5</v>
      </c>
      <c r="O48" s="13">
        <f>N48*VLOOKUP('Données projet'!$B$9,Paramètres!$A$1:$I$89,3,0)*VLOOKUP('Données projet'!$B$9,Paramètres!$A$1:$I$89,5,0)</f>
        <v>142.506</v>
      </c>
      <c r="P48" s="13">
        <f t="shared" si="33"/>
        <v>36.870500776307537</v>
      </c>
      <c r="Q48" s="20">
        <f t="shared" si="53"/>
        <v>312.41407218540223</v>
      </c>
      <c r="R48" s="59">
        <f t="shared" si="0"/>
        <v>605.7474055187356</v>
      </c>
      <c r="S48" s="59">
        <f ca="1">AVERAGE(OFFSET($R$3,0,0,'Données projet'!$E$9+1,1))-AVERAGE(OFFSET($H$3,0,0,'Données projet'!$E$9+1,1))</f>
        <v>237.22177246688199</v>
      </c>
      <c r="T48" s="59">
        <f t="shared" si="34"/>
        <v>149.27472147904302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2.0491549944859706</v>
      </c>
      <c r="AB48" s="21">
        <f>EXP(-LN(2)/2)*AB47+(1-EXP(-LN(2)/2))/(LN(2)/2)*V48*Y48*VLOOKUP('Données projet'!$B$9,Paramètres!$A$1:$I$89,3,0)*0.475*44/12</f>
        <v>3.4191639367099604E-2</v>
      </c>
      <c r="AC48" s="22">
        <f t="shared" si="3"/>
        <v>2.0833466338530702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8.3000000000000007</v>
      </c>
      <c r="AI48" s="13">
        <f>IF('Données projet'!$A$62&gt;35,AI47+AH48-AQ47,IF(A48&lt;'Données projet'!$A$62,$AF$205^A48,IF(A48='Données projet'!$A$62,'Données projet'!$B$62,AI47+AH48-AQ47)))</f>
        <v>157.5</v>
      </c>
      <c r="AJ48" s="13">
        <f>AI48*VLOOKUP('Données projet'!$B$10,Paramètres!$A$1:$I$89,3,0)*VLOOKUP('Données projet'!$B$10,Paramètres!$A$1:$I$89,5,0)</f>
        <v>159.70500000000001</v>
      </c>
      <c r="AK48" s="13">
        <f t="shared" si="35"/>
        <v>40.775970188397643</v>
      </c>
      <c r="AL48" s="20">
        <f t="shared" si="4"/>
        <v>349.17102307812593</v>
      </c>
      <c r="AM48" s="59">
        <f t="shared" si="5"/>
        <v>642.50435641145918</v>
      </c>
      <c r="AN48" s="59">
        <f ca="1">AVERAGE(OFFSET($AM$3,0,0,'Données projet'!$E$10+1,1))-AVERAGE(OFFSET($H$3,0,0,'Données projet'!$E$10+1,1))</f>
        <v>279.20364724206644</v>
      </c>
      <c r="AO48" s="59">
        <f t="shared" si="36"/>
        <v>173.99850582760712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2.2964668041653118</v>
      </c>
      <c r="AW48" s="21">
        <f>EXP(-LN(2)/2)*AW47+(1-EXP(-LN(2)/2))/(LN(2)/2)*AQ48*AT48*VLOOKUP('Données projet'!$B$10,Paramètres!$A$1:$I$89,3,0)*0.475*44/12</f>
        <v>3.8318216532094378E-2</v>
      </c>
      <c r="AX48" s="21">
        <f t="shared" si="6"/>
        <v>2.3347850206974061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11.499999999999996</v>
      </c>
      <c r="BD48" s="12">
        <f>IF('Données projet'!$A$88&gt;35,BD47+BC48-BL47,IF(A48&lt;'Données projet'!$A$88,$BA$205^A48,IF(A48='Données projet'!$A$88,'Données projet'!$B$88,BD47+BC48-BL47)))</f>
        <v>265.69999999999987</v>
      </c>
      <c r="BE48" s="13">
        <f>BD48*VLOOKUP('Données projet'!$B$11,Paramètres!$A$1:$I$89,3,0)*VLOOKUP('Données projet'!$B$11,Paramètres!$A$1:$I$89,5,0)</f>
        <v>124.34759999999994</v>
      </c>
      <c r="BF48" s="13">
        <f t="shared" si="37"/>
        <v>32.68689576547478</v>
      </c>
      <c r="BG48" s="20">
        <f t="shared" si="7"/>
        <v>273.50174679153514</v>
      </c>
      <c r="BH48" s="59">
        <f t="shared" si="8"/>
        <v>566.83508012486845</v>
      </c>
      <c r="BI48" s="59">
        <f ca="1">AVERAGE(OFFSET($BH$3,0,0,'Données projet'!$E$11+1,1))-AVERAGE(OFFSET($H$3,0,0,'Données projet'!$E$11+1,1))</f>
        <v>215.23235148064941</v>
      </c>
      <c r="BJ48" s="59">
        <f t="shared" si="38"/>
        <v>184.07239726900434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2.3289851795696257</v>
      </c>
      <c r="BQ48" s="21">
        <f>EXP(-LN(2)/25)*BQ47+(1-EXP(-LN(2)/25))/(LN(2)/25)*Calculateur!BL48*Calculateur!BN48*VLOOKUP('Données projet'!$B$11,Paramètres!$A$1:$I$89,3,0)*0.475*44/12</f>
        <v>5.1826736789442736</v>
      </c>
      <c r="BR48" s="21">
        <f>EXP(-LN(2)/2)*BR47+(1-EXP(-LN(2)/2))/(LN(2)/2)*BL48*BO48*VLOOKUP('Données projet'!$B$11,Paramètres!$A$1:$I$89,3,0)*0.475*44/12</f>
        <v>5.4315614555001383E-2</v>
      </c>
      <c r="BS48" s="22">
        <f t="shared" si="9"/>
        <v>7.5659744730689003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8.3000000000000007</v>
      </c>
      <c r="BY48" s="12">
        <f>IF('Données projet'!$A$114&gt;35,BY47+BX48-CG47,IF(A48&lt;'Données projet'!$A$114,$BV$205^A48,IF(A48='Données projet'!$A$114,'Données projet'!$B$114,BY47+BX48-CG47)))</f>
        <v>157.5</v>
      </c>
      <c r="BZ48" s="13">
        <f>BY48*VLOOKUP('Données projet'!$B$12,Paramètres!$A$1:$I$89,3,0)*VLOOKUP('Données projet'!$B$12,Paramètres!$A$1:$I$89,5,0)</f>
        <v>169.53300000000002</v>
      </c>
      <c r="CA48" s="13">
        <f t="shared" si="39"/>
        <v>42.985414381129679</v>
      </c>
      <c r="CB48" s="20">
        <f t="shared" si="10"/>
        <v>370.13623838046755</v>
      </c>
      <c r="CC48" s="59">
        <f t="shared" si="11"/>
        <v>663.46957171380086</v>
      </c>
      <c r="CD48" s="59">
        <f ca="1">AVERAGE(OFFSET($CC$3,0,0,'Données projet'!$E$12+1,1))-AVERAGE(OFFSET($H$3,0,0,'Données projet'!$E$12+1,1))</f>
        <v>303.1504619632214</v>
      </c>
      <c r="CE48" s="59">
        <f t="shared" si="40"/>
        <v>188.09929616366503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2.4377878382677922</v>
      </c>
      <c r="CM48" s="21">
        <f>EXP(-LN(2)/2)*CM47+(1-EXP(-LN(2)/2))/(LN(2)/2)*CG48*CJ48*VLOOKUP('Données projet'!$B$12,Paramètres!$A$1:$I$89,3,0)*0.475*44/12</f>
        <v>4.0676260626377157E-2</v>
      </c>
      <c r="CN48" s="22">
        <f t="shared" si="12"/>
        <v>2.4784640988941695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7.7</v>
      </c>
      <c r="CT48" s="12">
        <f>IF('Données projet'!$A$140&gt;35,CT47+CS48-DB47,IF(A48&lt;'Données projet'!$A$140,$CQ$205^A48,IF(A48='Données projet'!$A$140,'Données projet'!$B$140,CT47+CS48-DB47)))</f>
        <v>202.4999999999998</v>
      </c>
      <c r="CU48" s="17">
        <f>CT48*VLOOKUP('Données projet'!$B$13,Paramètres!$A$1:$I$89,3,0)*VLOOKUP('Données projet'!$B$13,Paramètres!$A$1:$I$89,5,0)</f>
        <v>135.83699999999988</v>
      </c>
      <c r="CV48" s="13">
        <f t="shared" si="41"/>
        <v>35.341651632833532</v>
      </c>
      <c r="CW48" s="20">
        <f t="shared" si="13"/>
        <v>298.13615159385154</v>
      </c>
      <c r="CX48" s="59">
        <f t="shared" si="14"/>
        <v>591.46948492718479</v>
      </c>
      <c r="CY48" s="59">
        <f ca="1">AVERAGE(OFFSET($CX$3,0,0,'Données projet'!$E$13+1,1))-AVERAGE(OFFSET($H$3,0,0,'Données projet'!$E$13+1,1))</f>
        <v>156.63226020379989</v>
      </c>
      <c r="CZ48" s="59">
        <f t="shared" si="42"/>
        <v>196.0481096619543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5.7200407676495919</v>
      </c>
      <c r="DH48" s="21">
        <f>EXP(-LN(2)/2)*DH47+(1-EXP(-LN(2)/2))/(LN(2)/2)*DB48*DE48*VLOOKUP('Données projet'!$B$13,Paramètres!$A$1:$I$89,3,0)*0.475*44/12</f>
        <v>5.0124318227203389E-2</v>
      </c>
      <c r="DI48" s="22">
        <f t="shared" si="15"/>
        <v>5.770165085876795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-8.5265128291212022E-14</v>
      </c>
      <c r="DP48" s="17">
        <f>DO48*VLOOKUP('Données projet'!$B$14,Paramètres!$A$1:$I$89,3,0)*VLOOKUP('Données projet'!$B$14,Paramètres!$A$1:$I$89,5,0)</f>
        <v>-7.7147888077888636E-14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225.28075317732998</v>
      </c>
      <c r="DU48" s="59">
        <f t="shared" si="44"/>
        <v>358.43407531256207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1.6669319890229728</v>
      </c>
      <c r="EB48" s="21">
        <f>EXP(-LN(2)/25)*EB47+(1-EXP(-LN(2)/25))/(LN(2)/25)*Calculateur!DW48*Calculateur!DY48*VLOOKUP('Données projet'!$B$14,Paramètres!$A$1:$I$89,3,0)*0.475*44/12</f>
        <v>5.4575221138512751</v>
      </c>
      <c r="EC48" s="21">
        <f>EXP(-LN(2)/2)*EC47+(1-EXP(-LN(2)/2))/(LN(2)/2)*DW48*DZ48*VLOOKUP('Données projet'!$B$14,Paramètres!$A$1:$I$89,3,0)*0.475*44/12</f>
        <v>2.4384252052309027E-2</v>
      </c>
      <c r="ED48" s="22">
        <f t="shared" si="18"/>
        <v>7.1488383549265571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19.2</v>
      </c>
      <c r="EJ48" s="12">
        <f>IF('Données projet'!$A$192&gt;35,EJ47+EI48-ER47,IF(A48&lt;'Données projet'!$A$192,$EG$205^A48,IF(A48='Données projet'!$A$192,'Données projet'!$B$192,EJ47+EI48-ER47)))</f>
        <v>412.99999999999983</v>
      </c>
      <c r="EK48" s="17">
        <f>EJ48*VLOOKUP('Données projet'!$B$15,Paramètres!$A$1:$I$89,3,0)*VLOOKUP('Données projet'!$B$15,Paramètres!$A$1:$I$89,5,0)</f>
        <v>230.8669999999999</v>
      </c>
      <c r="EL48" s="13">
        <f t="shared" si="45"/>
        <v>56.470106131334084</v>
      </c>
      <c r="EM48" s="20">
        <f t="shared" si="19"/>
        <v>500.44545984540667</v>
      </c>
      <c r="EN48" s="59">
        <f t="shared" si="20"/>
        <v>793.77879317873999</v>
      </c>
      <c r="EO48" s="59">
        <f ca="1">AVERAGE(OFFSET($EN$3,0,0,'Données projet'!$E$15+1,1))-AVERAGE(OFFSET($H$3,0,0,'Données projet'!$E$15+1,1))</f>
        <v>326.31232746914907</v>
      </c>
      <c r="EP48" s="59">
        <f t="shared" si="46"/>
        <v>330.17137761430297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3.3939701721155053</v>
      </c>
      <c r="EW48" s="21">
        <f>EXP(-LN(2)/25)*EW47+(1-EXP(-LN(2)/25))/(LN(2)/25)*Calculateur!ER48*Calculateur!ET48*VLOOKUP('Données projet'!$B$15,Paramètres!$A$1:$I$89,3,0)*0.475*44/12</f>
        <v>19.906721965837086</v>
      </c>
      <c r="EX48" s="21">
        <f>EXP(-LN(2)/2)*EX47+(1-EXP(-LN(2)/2))/(LN(2)/2)*ER48*EU48*VLOOKUP('Données projet'!$B$15,Paramètres!$A$1:$I$89,3,0)*0.475*44/12</f>
        <v>0.17966085332096027</v>
      </c>
      <c r="EY48" s="22">
        <f t="shared" si="21"/>
        <v>23.480352991273552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12.4</v>
      </c>
      <c r="FE48" s="12">
        <f>IF('Données projet'!$A$218&gt;35,FE47+FD48-FM47,IF(A48&lt;'Données projet'!$A$218,$FB$205^A48,IF(A48='Données projet'!$A$218,'Données projet'!$B$218,FE47+FD48-FM47)))</f>
        <v>310</v>
      </c>
      <c r="FF48" s="17">
        <f>FE48*VLOOKUP('Données projet'!$B$16,Paramètres!$A$1:$I$89,3,0)*VLOOKUP('Données projet'!$B$16,Paramètres!$A$1:$I$89,5,0)</f>
        <v>193.44</v>
      </c>
      <c r="FG48" s="13">
        <f t="shared" si="47"/>
        <v>48.299691961776745</v>
      </c>
      <c r="FH48" s="20">
        <f t="shared" si="22"/>
        <v>421.02996350009448</v>
      </c>
      <c r="FI48" s="59">
        <f t="shared" si="23"/>
        <v>714.36329683342774</v>
      </c>
      <c r="FJ48" s="59">
        <f ca="1">AVERAGE(OFFSET($FI$3,0,0,'Données projet'!$E$16+1,1))-AVERAGE(OFFSET($H$3,0,0,'Données projet'!$E$16+1,1))</f>
        <v>255.41017495879987</v>
      </c>
      <c r="FK48" s="59">
        <f t="shared" si="48"/>
        <v>297.50513563712764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6.1995565088959728</v>
      </c>
      <c r="FR48" s="21">
        <f>EXP(-LN(2)/25)*FR47+(1-EXP(-LN(2)/25))/(LN(2)/25)*Calculateur!FM48*Calculateur!FO48*VLOOKUP('Données projet'!$B$16,Paramètres!$A$1:$I$89,3,0)*0.475*44/12</f>
        <v>18.387255457676766</v>
      </c>
      <c r="FS48" s="21">
        <f>EXP(-LN(2)/2)*FS47+(1-EXP(-LN(2)/2))/(LN(2)/2)*FM48*FP48*VLOOKUP('Données projet'!$B$16,Paramètres!$A$1:$I$89,3,0)*0.475*44/12</f>
        <v>0.13479881032765212</v>
      </c>
      <c r="FT48" s="22">
        <f t="shared" si="24"/>
        <v>24.721610776900391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18.8</v>
      </c>
      <c r="FZ48" s="12">
        <f>IF('Données projet'!$A$244&gt;35,FZ47+FY48-GH47,IF(A48&lt;'Données projet'!$A$244,$FW$205^A48,IF(A48='Données projet'!$A$244,'Données projet'!$B$244,FZ47+FY48-GH47)))</f>
        <v>307.00000000000011</v>
      </c>
      <c r="GA48" s="17">
        <f>FZ48*VLOOKUP('Données projet'!$B$17,Paramètres!$A$1:$I$89,3,0)*VLOOKUP('Données projet'!$B$17,Paramètres!$A$1:$I$89,5,0)</f>
        <v>183.58600000000007</v>
      </c>
      <c r="GB48" s="13">
        <f t="shared" si="49"/>
        <v>46.119086835316438</v>
      </c>
      <c r="GC48" s="20">
        <f t="shared" si="25"/>
        <v>400.0696929048429</v>
      </c>
      <c r="GD48" s="59">
        <f t="shared" si="26"/>
        <v>693.40302623817615</v>
      </c>
      <c r="GE48" s="59">
        <f ca="1">AVERAGE(OFFSET($GD$3,0,0,'Données projet'!$E$17+1,1))-AVERAGE(OFFSET($H$3,0,0,'Données projet'!$E$17+1,1))</f>
        <v>259.30247982593914</v>
      </c>
      <c r="GF48" s="59">
        <f t="shared" si="50"/>
        <v>275.24740346220779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11.897351675395928</v>
      </c>
      <c r="GN48" s="21">
        <f>EXP(-LN(2)/2)*GN47+(1-EXP(-LN(2)/2))/(LN(2)/2)*GH48*GK48*VLOOKUP('Données projet'!$B$17,Paramètres!$A$1:$I$89,3,0)*0.475*44/12</f>
        <v>0.15843871057199485</v>
      </c>
      <c r="GO48" s="21">
        <f t="shared" si="27"/>
        <v>12.055790385967923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7.7</v>
      </c>
      <c r="GU48" s="12">
        <f>IF('Données projet'!$A$270&gt;35,GU47+GT48-HC47,IF(A48&lt;'Données projet'!$A$270,$GR$205^A48,IF(A48='Données projet'!$A$270,'Données projet'!$B$270,GU47+GT48-HC47)))</f>
        <v>202.4999999999998</v>
      </c>
      <c r="GV48" s="17">
        <f>GU48*VLOOKUP('Données projet'!$B$18,Paramètres!$A$1:$I$89,3,0)*VLOOKUP('Données projet'!$B$18,Paramètres!$A$1:$I$89,5,0)</f>
        <v>161.10899999999987</v>
      </c>
      <c r="GW48" s="13">
        <f t="shared" si="51"/>
        <v>41.092552806229506</v>
      </c>
      <c r="GX48" s="20">
        <f t="shared" si="28"/>
        <v>352.16770447084946</v>
      </c>
      <c r="GY48" s="59">
        <f t="shared" si="29"/>
        <v>645.50103780418272</v>
      </c>
      <c r="GZ48" s="59">
        <f ca="1">AVERAGE(OFFSET($GY$3,0,0,'Données projet'!$E$18+1,1))-AVERAGE(OFFSET($H$3,0,0,'Données projet'!$E$18+1,1))</f>
        <v>199.58763537752952</v>
      </c>
      <c r="HA48" s="59">
        <f t="shared" si="52"/>
        <v>242.62852778451929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0</v>
      </c>
      <c r="HH48" s="21">
        <f>EXP(-LN(2)/25)*HH47+(1-EXP(-LN(2)/25))/(LN(2)/25)*Calculateur!HC48*Calculateur!HE48*VLOOKUP('Données projet'!$B$18,Paramètres!$A$1:$I$89,3,0)*0.475*44/12</f>
        <v>6.7842343988402103</v>
      </c>
      <c r="HI48" s="21">
        <f>EXP(-LN(2)/2)*HI47+(1-EXP(-LN(2)/2))/(LN(2)/2)*HC48*HF48*VLOOKUP('Données projet'!$B$18,Paramètres!$A$1:$I$89,3,0)*0.475*44/12</f>
        <v>5.9449772781101737E-2</v>
      </c>
      <c r="HJ48" s="22">
        <f t="shared" si="30"/>
        <v>6.8436841716213124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8.3000000000000007</v>
      </c>
      <c r="N49" s="13">
        <f>IF('Données projet'!$A$36&gt;35,N48+M49-V48,IF(A49&lt;'Données projet'!$A$36,$K$205^A49,IF(A49='Données projet'!$A$36,'Données projet'!$B$36,N48+M49-V48)))</f>
        <v>165.8</v>
      </c>
      <c r="O49" s="13">
        <f>N49*VLOOKUP('Données projet'!$B$9,Paramètres!$A$1:$I$89,3,0)*VLOOKUP('Données projet'!$B$9,Paramètres!$A$1:$I$89,5,0)</f>
        <v>150.01584</v>
      </c>
      <c r="P49" s="13">
        <f t="shared" si="33"/>
        <v>38.582185295570788</v>
      </c>
      <c r="Q49" s="20">
        <f t="shared" si="53"/>
        <v>328.47489405645246</v>
      </c>
      <c r="R49" s="59">
        <f t="shared" si="0"/>
        <v>621.80822738978577</v>
      </c>
      <c r="S49" s="59">
        <f ca="1">AVERAGE(OFFSET($R$3,0,0,'Données projet'!$E$9+1,1))-AVERAGE(OFFSET($H$3,0,0,'Données projet'!$E$9+1,1))</f>
        <v>237.22177246688199</v>
      </c>
      <c r="T49" s="59">
        <f t="shared" si="34"/>
        <v>149.27472147904302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1.993120743401374</v>
      </c>
      <c r="AB49" s="21">
        <f>EXP(-LN(2)/2)*AB48+(1-EXP(-LN(2)/2))/(LN(2)/2)*V49*Y49*VLOOKUP('Données projet'!$B$9,Paramètres!$A$1:$I$89,3,0)*0.475*44/12</f>
        <v>2.4177140056361044E-2</v>
      </c>
      <c r="AC49" s="22">
        <f t="shared" si="3"/>
        <v>2.0172978834577351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8.3000000000000007</v>
      </c>
      <c r="AI49" s="13">
        <f>IF('Données projet'!$A$62&gt;35,AI48+AH49-AQ48,IF(A49&lt;'Données projet'!$A$62,$AF$205^A49,IF(A49='Données projet'!$A$62,'Données projet'!$B$62,AI48+AH49-AQ48)))</f>
        <v>165.8</v>
      </c>
      <c r="AJ49" s="13">
        <f>AI49*VLOOKUP('Données projet'!$B$10,Paramètres!$A$1:$I$89,3,0)*VLOOKUP('Données projet'!$B$10,Paramètres!$A$1:$I$89,5,0)</f>
        <v>168.12120000000002</v>
      </c>
      <c r="AK49" s="13">
        <f t="shared" si="35"/>
        <v>42.668963108479424</v>
      </c>
      <c r="AL49" s="20">
        <f t="shared" si="4"/>
        <v>367.12620074726834</v>
      </c>
      <c r="AM49" s="59">
        <f t="shared" si="5"/>
        <v>660.45953408060166</v>
      </c>
      <c r="AN49" s="59">
        <f ca="1">AVERAGE(OFFSET($AM$3,0,0,'Données projet'!$E$10+1,1))-AVERAGE(OFFSET($H$3,0,0,'Données projet'!$E$10+1,1))</f>
        <v>279.20364724206644</v>
      </c>
      <c r="AO49" s="59">
        <f t="shared" si="36"/>
        <v>173.99850582760712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2.2336697986394709</v>
      </c>
      <c r="AW49" s="21">
        <f>EXP(-LN(2)/2)*AW48+(1-EXP(-LN(2)/2))/(LN(2)/2)*AQ49*AT49*VLOOKUP('Données projet'!$B$10,Paramètres!$A$1:$I$89,3,0)*0.475*44/12</f>
        <v>2.7095070752818407E-2</v>
      </c>
      <c r="AX49" s="21">
        <f t="shared" si="6"/>
        <v>2.2607648693922893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11.499999999999996</v>
      </c>
      <c r="BD49" s="12">
        <f>IF('Données projet'!$A$88&gt;35,BD48+BC49-BL48,IF(A49&lt;'Données projet'!$A$88,$BA$205^A49,IF(A49='Données projet'!$A$88,'Données projet'!$B$88,BD48+BC49-BL48)))</f>
        <v>277.19999999999987</v>
      </c>
      <c r="BE49" s="13">
        <f>BD49*VLOOKUP('Données projet'!$B$11,Paramètres!$A$1:$I$89,3,0)*VLOOKUP('Données projet'!$B$11,Paramètres!$A$1:$I$89,5,0)</f>
        <v>129.72959999999992</v>
      </c>
      <c r="BF49" s="13">
        <f t="shared" si="37"/>
        <v>33.933870261867483</v>
      </c>
      <c r="BG49" s="20">
        <f t="shared" si="7"/>
        <v>285.04721070608576</v>
      </c>
      <c r="BH49" s="59">
        <f t="shared" si="8"/>
        <v>578.38054403941908</v>
      </c>
      <c r="BI49" s="59">
        <f ca="1">AVERAGE(OFFSET($BH$3,0,0,'Données projet'!$E$11+1,1))-AVERAGE(OFFSET($H$3,0,0,'Données projet'!$E$11+1,1))</f>
        <v>215.23235148064941</v>
      </c>
      <c r="BJ49" s="59">
        <f t="shared" si="38"/>
        <v>184.07239726900434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2.2833152007389583</v>
      </c>
      <c r="BQ49" s="21">
        <f>EXP(-LN(2)/25)*BQ48+(1-EXP(-LN(2)/25))/(LN(2)/25)*Calculateur!BL49*Calculateur!BN49*VLOOKUP('Données projet'!$B$11,Paramètres!$A$1:$I$89,3,0)*0.475*44/12</f>
        <v>5.040953194648579</v>
      </c>
      <c r="BR49" s="21">
        <f>EXP(-LN(2)/2)*BR48+(1-EXP(-LN(2)/2))/(LN(2)/2)*BL49*BO49*VLOOKUP('Données projet'!$B$11,Paramètres!$A$1:$I$89,3,0)*0.475*44/12</f>
        <v>3.8406939376156218E-2</v>
      </c>
      <c r="BS49" s="22">
        <f t="shared" si="9"/>
        <v>7.3626753347636944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8.3000000000000007</v>
      </c>
      <c r="BY49" s="12">
        <f>IF('Données projet'!$A$114&gt;35,BY48+BX49-CG48,IF(A49&lt;'Données projet'!$A$114,$BV$205^A49,IF(A49='Données projet'!$A$114,'Données projet'!$B$114,BY48+BX49-CG48)))</f>
        <v>165.8</v>
      </c>
      <c r="BZ49" s="13">
        <f>BY49*VLOOKUP('Données projet'!$B$12,Paramètres!$A$1:$I$89,3,0)*VLOOKUP('Données projet'!$B$12,Paramètres!$A$1:$I$89,5,0)</f>
        <v>178.46711999999999</v>
      </c>
      <c r="CA49" s="13">
        <f t="shared" si="39"/>
        <v>44.980979041254272</v>
      </c>
      <c r="CB49" s="20">
        <f t="shared" si="10"/>
        <v>389.17210583018453</v>
      </c>
      <c r="CC49" s="59">
        <f t="shared" si="11"/>
        <v>682.50543916351785</v>
      </c>
      <c r="CD49" s="59">
        <f ca="1">AVERAGE(OFFSET($CC$3,0,0,'Données projet'!$E$12+1,1))-AVERAGE(OFFSET($H$3,0,0,'Données projet'!$E$12+1,1))</f>
        <v>303.1504619632214</v>
      </c>
      <c r="CE49" s="59">
        <f t="shared" si="40"/>
        <v>188.09929616366503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2.3711264016326687</v>
      </c>
      <c r="CM49" s="21">
        <f>EXP(-LN(2)/2)*CM48+(1-EXP(-LN(2)/2))/(LN(2)/2)*CG49*CJ49*VLOOKUP('Données projet'!$B$12,Paramètres!$A$1:$I$89,3,0)*0.475*44/12</f>
        <v>2.8762459722222654E-2</v>
      </c>
      <c r="CN49" s="22">
        <f t="shared" si="12"/>
        <v>2.3998888613548912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7.7</v>
      </c>
      <c r="CT49" s="12">
        <f>IF('Données projet'!$A$140&gt;35,CT48+CS49-DB48,IF(A49&lt;'Données projet'!$A$140,$CQ$205^A49,IF(A49='Données projet'!$A$140,'Données projet'!$B$140,CT48+CS49-DB48)))</f>
        <v>210.19999999999979</v>
      </c>
      <c r="CU49" s="17">
        <f>CT49*VLOOKUP('Données projet'!$B$13,Paramètres!$A$1:$I$89,3,0)*VLOOKUP('Données projet'!$B$13,Paramètres!$A$1:$I$89,5,0)</f>
        <v>141.00215999999986</v>
      </c>
      <c r="CV49" s="13">
        <f t="shared" si="41"/>
        <v>36.526490885878047</v>
      </c>
      <c r="CW49" s="20">
        <f t="shared" si="13"/>
        <v>309.19573362623737</v>
      </c>
      <c r="CX49" s="59">
        <f t="shared" si="14"/>
        <v>602.52906695957063</v>
      </c>
      <c r="CY49" s="59">
        <f ca="1">AVERAGE(OFFSET($CX$3,0,0,'Données projet'!$E$13+1,1))-AVERAGE(OFFSET($H$3,0,0,'Données projet'!$E$13+1,1))</f>
        <v>156.63226020379989</v>
      </c>
      <c r="CZ49" s="59">
        <f t="shared" si="42"/>
        <v>196.0481096619543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5.563625952054343</v>
      </c>
      <c r="DH49" s="21">
        <f>EXP(-LN(2)/2)*DH48+(1-EXP(-LN(2)/2))/(LN(2)/2)*DB49*DE49*VLOOKUP('Données projet'!$B$13,Paramètres!$A$1:$I$89,3,0)*0.475*44/12</f>
        <v>3.5443245320807983E-2</v>
      </c>
      <c r="DI49" s="22">
        <f t="shared" si="15"/>
        <v>5.599069197375151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-8.5265128291212022E-14</v>
      </c>
      <c r="DP49" s="17">
        <f>DO49*VLOOKUP('Données projet'!$B$14,Paramètres!$A$1:$I$89,3,0)*VLOOKUP('Données projet'!$B$14,Paramètres!$A$1:$I$89,5,0)</f>
        <v>-7.7147888077888636E-14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225.28075317732998</v>
      </c>
      <c r="DU49" s="59">
        <f t="shared" si="44"/>
        <v>358.43407531256207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1.634244469446352</v>
      </c>
      <c r="EB49" s="21">
        <f>EXP(-LN(2)/25)*EB48+(1-EXP(-LN(2)/25))/(LN(2)/25)*Calculateur!DW49*Calculateur!DY49*VLOOKUP('Données projet'!$B$14,Paramètres!$A$1:$I$89,3,0)*0.475*44/12</f>
        <v>5.308285884649397</v>
      </c>
      <c r="EC49" s="21">
        <f>EXP(-LN(2)/2)*EC48+(1-EXP(-LN(2)/2))/(LN(2)/2)*DW49*DZ49*VLOOKUP('Données projet'!$B$14,Paramètres!$A$1:$I$89,3,0)*0.475*44/12</f>
        <v>1.7242269980349702E-2</v>
      </c>
      <c r="ED49" s="22">
        <f t="shared" si="18"/>
        <v>6.9597726240760984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19.2</v>
      </c>
      <c r="EJ49" s="12">
        <f>IF('Données projet'!$A$192&gt;35,EJ48+EI49-ER48,IF(A49&lt;'Données projet'!$A$192,$EG$205^A49,IF(A49='Données projet'!$A$192,'Données projet'!$B$192,EJ48+EI49-ER48)))</f>
        <v>432.19999999999982</v>
      </c>
      <c r="EK49" s="17">
        <f>EJ49*VLOOKUP('Données projet'!$B$15,Paramètres!$A$1:$I$89,3,0)*VLOOKUP('Données projet'!$B$15,Paramètres!$A$1:$I$89,5,0)</f>
        <v>241.5997999999999</v>
      </c>
      <c r="EL49" s="13">
        <f t="shared" si="45"/>
        <v>58.783602040793284</v>
      </c>
      <c r="EM49" s="20">
        <f t="shared" si="19"/>
        <v>523.16775855438141</v>
      </c>
      <c r="EN49" s="59">
        <f t="shared" si="20"/>
        <v>816.50109188771467</v>
      </c>
      <c r="EO49" s="59">
        <f ca="1">AVERAGE(OFFSET($EN$3,0,0,'Données projet'!$E$15+1,1))-AVERAGE(OFFSET($H$3,0,0,'Données projet'!$E$15+1,1))</f>
        <v>326.31232746914907</v>
      </c>
      <c r="EP49" s="59">
        <f t="shared" si="46"/>
        <v>330.17137761430297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3.3274164871577181</v>
      </c>
      <c r="EW49" s="21">
        <f>EXP(-LN(2)/25)*EW48+(1-EXP(-LN(2)/25))/(LN(2)/25)*Calculateur!ER49*Calculateur!ET49*VLOOKUP('Données projet'!$B$15,Paramètres!$A$1:$I$89,3,0)*0.475*44/12</f>
        <v>19.362371606832259</v>
      </c>
      <c r="EX49" s="21">
        <f>EXP(-LN(2)/2)*EX48+(1-EXP(-LN(2)/2))/(LN(2)/2)*ER49*EU49*VLOOKUP('Données projet'!$B$15,Paramètres!$A$1:$I$89,3,0)*0.475*44/12</f>
        <v>0.12703940769701266</v>
      </c>
      <c r="EY49" s="22">
        <f t="shared" si="21"/>
        <v>22.816827501686987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12.4</v>
      </c>
      <c r="FE49" s="12">
        <f>IF('Données projet'!$A$218&gt;35,FE48+FD49-FM48,IF(A49&lt;'Données projet'!$A$218,$FB$205^A49,IF(A49='Données projet'!$A$218,'Données projet'!$B$218,FE48+FD49-FM48)))</f>
        <v>322.39999999999998</v>
      </c>
      <c r="FF49" s="17">
        <f>FE49*VLOOKUP('Données projet'!$B$16,Paramètres!$A$1:$I$89,3,0)*VLOOKUP('Données projet'!$B$16,Paramètres!$A$1:$I$89,5,0)</f>
        <v>201.17759999999998</v>
      </c>
      <c r="FG49" s="13">
        <f t="shared" si="47"/>
        <v>50.002880070410733</v>
      </c>
      <c r="FH49" s="20">
        <f t="shared" si="22"/>
        <v>437.47266945596533</v>
      </c>
      <c r="FI49" s="59">
        <f t="shared" si="23"/>
        <v>730.80600278929865</v>
      </c>
      <c r="FJ49" s="59">
        <f ca="1">AVERAGE(OFFSET($FI$3,0,0,'Données projet'!$E$16+1,1))-AVERAGE(OFFSET($H$3,0,0,'Données projet'!$E$16+1,1))</f>
        <v>255.41017495879987</v>
      </c>
      <c r="FK49" s="59">
        <f t="shared" si="48"/>
        <v>297.50513563712764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6.0779869871126149</v>
      </c>
      <c r="FR49" s="21">
        <f>EXP(-LN(2)/25)*FR48+(1-EXP(-LN(2)/25))/(LN(2)/25)*Calculateur!FM49*Calculateur!FO49*VLOOKUP('Données projet'!$B$16,Paramètres!$A$1:$I$89,3,0)*0.475*44/12</f>
        <v>17.884454990242855</v>
      </c>
      <c r="FS49" s="21">
        <f>EXP(-LN(2)/2)*FS48+(1-EXP(-LN(2)/2))/(LN(2)/2)*FM49*FP49*VLOOKUP('Données projet'!$B$16,Paramètres!$A$1:$I$89,3,0)*0.475*44/12</f>
        <v>9.5317152878562031E-2</v>
      </c>
      <c r="FT49" s="22">
        <f t="shared" si="24"/>
        <v>24.057759130234029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18.8</v>
      </c>
      <c r="FZ49" s="12">
        <f>IF('Données projet'!$A$244&gt;35,FZ48+FY49-GH48,IF(A49&lt;'Données projet'!$A$244,$FW$205^A49,IF(A49='Données projet'!$A$244,'Données projet'!$B$244,FZ48+FY49-GH48)))</f>
        <v>325.80000000000013</v>
      </c>
      <c r="GA49" s="17">
        <f>FZ49*VLOOKUP('Données projet'!$B$17,Paramètres!$A$1:$I$89,3,0)*VLOOKUP('Données projet'!$B$17,Paramètres!$A$1:$I$89,5,0)</f>
        <v>194.82840000000007</v>
      </c>
      <c r="GB49" s="13">
        <f t="shared" si="49"/>
        <v>48.605879434898576</v>
      </c>
      <c r="GC49" s="20">
        <f t="shared" si="25"/>
        <v>423.98137001578181</v>
      </c>
      <c r="GD49" s="59">
        <f t="shared" si="26"/>
        <v>717.31470334911512</v>
      </c>
      <c r="GE49" s="59">
        <f ca="1">AVERAGE(OFFSET($GD$3,0,0,'Données projet'!$E$17+1,1))-AVERAGE(OFFSET($H$3,0,0,'Données projet'!$E$17+1,1))</f>
        <v>259.30247982593914</v>
      </c>
      <c r="GF49" s="59">
        <f t="shared" si="50"/>
        <v>275.24740346220779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11.572017968177693</v>
      </c>
      <c r="GN49" s="21">
        <f>EXP(-LN(2)/2)*GN48+(1-EXP(-LN(2)/2))/(LN(2)/2)*GH49*GK49*VLOOKUP('Données projet'!$B$17,Paramètres!$A$1:$I$89,3,0)*0.475*44/12</f>
        <v>0.1120330866479103</v>
      </c>
      <c r="GO49" s="21">
        <f t="shared" si="27"/>
        <v>11.684051054825604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7.7</v>
      </c>
      <c r="GU49" s="12">
        <f>IF('Données projet'!$A$270&gt;35,GU48+GT49-HC48,IF(A49&lt;'Données projet'!$A$270,$GR$205^A49,IF(A49='Données projet'!$A$270,'Données projet'!$B$270,GU48+GT49-HC48)))</f>
        <v>210.19999999999979</v>
      </c>
      <c r="GV49" s="17">
        <f>GU49*VLOOKUP('Données projet'!$B$18,Paramètres!$A$1:$I$89,3,0)*VLOOKUP('Données projet'!$B$18,Paramètres!$A$1:$I$89,5,0)</f>
        <v>167.23511999999985</v>
      </c>
      <c r="GW49" s="13">
        <f t="shared" si="51"/>
        <v>42.470192710511569</v>
      </c>
      <c r="GX49" s="20">
        <f t="shared" si="28"/>
        <v>365.23675297080734</v>
      </c>
      <c r="GY49" s="59">
        <f t="shared" si="29"/>
        <v>658.57008630414066</v>
      </c>
      <c r="GZ49" s="59">
        <f ca="1">AVERAGE(OFFSET($GY$3,0,0,'Données projet'!$E$18+1,1))-AVERAGE(OFFSET($H$3,0,0,'Données projet'!$E$18+1,1))</f>
        <v>199.58763537752952</v>
      </c>
      <c r="HA49" s="59">
        <f t="shared" si="52"/>
        <v>242.62852778451929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0</v>
      </c>
      <c r="HH49" s="21">
        <f>EXP(-LN(2)/25)*HH48+(1-EXP(-LN(2)/25))/(LN(2)/25)*Calculateur!HC49*Calculateur!HE49*VLOOKUP('Données projet'!$B$18,Paramètres!$A$1:$I$89,3,0)*0.475*44/12</f>
        <v>6.5987191524365434</v>
      </c>
      <c r="HI49" s="21">
        <f>EXP(-LN(2)/2)*HI48+(1-EXP(-LN(2)/2))/(LN(2)/2)*HC49*HF49*VLOOKUP('Données projet'!$B$18,Paramètres!$A$1:$I$89,3,0)*0.475*44/12</f>
        <v>4.2037337473516477E-2</v>
      </c>
      <c r="HJ49" s="22">
        <f t="shared" si="30"/>
        <v>6.6407564899100597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8.3000000000000007</v>
      </c>
      <c r="N50" s="13">
        <f>IF('Données projet'!$A$36&gt;35,N49+M50-V49,IF(A50&lt;'Données projet'!$A$36,$K$205^A50,IF(A50='Données projet'!$A$36,'Données projet'!$B$36,N49+M50-V49)))</f>
        <v>174.10000000000002</v>
      </c>
      <c r="O50" s="13">
        <f>N50*VLOOKUP('Données projet'!$B$9,Paramètres!$A$1:$I$89,3,0)*VLOOKUP('Données projet'!$B$9,Paramètres!$A$1:$I$89,5,0)</f>
        <v>157.52568000000002</v>
      </c>
      <c r="P50" s="13">
        <f t="shared" si="33"/>
        <v>40.283920409774808</v>
      </c>
      <c r="Q50" s="20">
        <f t="shared" si="53"/>
        <v>344.51838738035781</v>
      </c>
      <c r="R50" s="59">
        <f t="shared" si="0"/>
        <v>637.85172071369107</v>
      </c>
      <c r="S50" s="59">
        <f ca="1">AVERAGE(OFFSET($R$3,0,0,'Données projet'!$E$9+1,1))-AVERAGE(OFFSET($H$3,0,0,'Données projet'!$E$9+1,1))</f>
        <v>237.22177246688199</v>
      </c>
      <c r="T50" s="59">
        <f t="shared" si="34"/>
        <v>149.27472147904302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1.9386187518593989</v>
      </c>
      <c r="AB50" s="21">
        <f>EXP(-LN(2)/2)*AB49+(1-EXP(-LN(2)/2))/(LN(2)/2)*V50*Y50*VLOOKUP('Données projet'!$B$9,Paramètres!$A$1:$I$89,3,0)*0.475*44/12</f>
        <v>1.7095819683549802E-2</v>
      </c>
      <c r="AC50" s="22">
        <f t="shared" si="3"/>
        <v>1.9557145715429487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8.3000000000000007</v>
      </c>
      <c r="AI50" s="13">
        <f>IF('Données projet'!$A$62&gt;35,AI49+AH50-AQ49,IF(A50&lt;'Données projet'!$A$62,$AF$205^A50,IF(A50='Données projet'!$A$62,'Données projet'!$B$62,AI49+AH50-AQ49)))</f>
        <v>174.10000000000002</v>
      </c>
      <c r="AJ50" s="13">
        <f>AI50*VLOOKUP('Données projet'!$B$10,Paramètres!$A$1:$I$89,3,0)*VLOOKUP('Données projet'!$B$10,Paramètres!$A$1:$I$89,5,0)</f>
        <v>176.53740000000005</v>
      </c>
      <c r="AK50" s="13">
        <f t="shared" si="35"/>
        <v>44.550952743128576</v>
      </c>
      <c r="AL50" s="20">
        <f t="shared" si="4"/>
        <v>385.06221436094899</v>
      </c>
      <c r="AM50" s="59">
        <f t="shared" si="5"/>
        <v>678.3955476942823</v>
      </c>
      <c r="AN50" s="59">
        <f ca="1">AVERAGE(OFFSET($AM$3,0,0,'Données projet'!$E$10+1,1))-AVERAGE(OFFSET($H$3,0,0,'Données projet'!$E$10+1,1))</f>
        <v>279.20364724206644</v>
      </c>
      <c r="AO50" s="59">
        <f t="shared" si="36"/>
        <v>173.99850582760712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2.1725899805320852</v>
      </c>
      <c r="AW50" s="21">
        <f>EXP(-LN(2)/2)*AW49+(1-EXP(-LN(2)/2))/(LN(2)/2)*AQ50*AT50*VLOOKUP('Données projet'!$B$10,Paramètres!$A$1:$I$89,3,0)*0.475*44/12</f>
        <v>1.9159108266047189E-2</v>
      </c>
      <c r="AX50" s="21">
        <f t="shared" si="6"/>
        <v>2.1917490887981326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11.499999999999996</v>
      </c>
      <c r="BD50" s="12">
        <f>IF('Données projet'!$A$88&gt;35,BD49+BC50-BL49,IF(A50&lt;'Données projet'!$A$88,$BA$205^A50,IF(A50='Données projet'!$A$88,'Données projet'!$B$88,BD49+BC50-BL49)))</f>
        <v>288.69999999999987</v>
      </c>
      <c r="BE50" s="13">
        <f>BD50*VLOOKUP('Données projet'!$B$11,Paramètres!$A$1:$I$89,3,0)*VLOOKUP('Données projet'!$B$11,Paramètres!$A$1:$I$89,5,0)</f>
        <v>135.11159999999992</v>
      </c>
      <c r="BF50" s="13">
        <f t="shared" si="37"/>
        <v>35.174835808562257</v>
      </c>
      <c r="BG50" s="20">
        <f t="shared" si="7"/>
        <v>296.58220903324576</v>
      </c>
      <c r="BH50" s="59">
        <f t="shared" si="8"/>
        <v>589.91554236657907</v>
      </c>
      <c r="BI50" s="59">
        <f ca="1">AVERAGE(OFFSET($BH$3,0,0,'Données projet'!$E$11+1,1))-AVERAGE(OFFSET($H$3,0,0,'Données projet'!$E$11+1,1))</f>
        <v>215.23235148064941</v>
      </c>
      <c r="BJ50" s="59">
        <f t="shared" si="38"/>
        <v>184.07239726900434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2.2385407823372234</v>
      </c>
      <c r="BQ50" s="21">
        <f>EXP(-LN(2)/25)*BQ49+(1-EXP(-LN(2)/25))/(LN(2)/25)*Calculateur!BL50*Calculateur!BN50*VLOOKUP('Données projet'!$B$11,Paramètres!$A$1:$I$89,3,0)*0.475*44/12</f>
        <v>4.9031080644487064</v>
      </c>
      <c r="BR50" s="21">
        <f>EXP(-LN(2)/2)*BR49+(1-EXP(-LN(2)/2))/(LN(2)/2)*BL50*BO50*VLOOKUP('Données projet'!$B$11,Paramètres!$A$1:$I$89,3,0)*0.475*44/12</f>
        <v>2.7157807277500692E-2</v>
      </c>
      <c r="BS50" s="22">
        <f t="shared" si="9"/>
        <v>7.168806654063431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8.3000000000000007</v>
      </c>
      <c r="BY50" s="12">
        <f>IF('Données projet'!$A$114&gt;35,BY49+BX50-CG49,IF(A50&lt;'Données projet'!$A$114,$BV$205^A50,IF(A50='Données projet'!$A$114,'Données projet'!$B$114,BY49+BX50-CG49)))</f>
        <v>174.10000000000002</v>
      </c>
      <c r="BZ50" s="13">
        <f>BY50*VLOOKUP('Données projet'!$B$12,Paramètres!$A$1:$I$89,3,0)*VLOOKUP('Données projet'!$B$12,Paramètres!$A$1:$I$89,5,0)</f>
        <v>187.40124</v>
      </c>
      <c r="CA50" s="13">
        <f t="shared" si="39"/>
        <v>46.964944203397764</v>
      </c>
      <c r="CB50" s="20">
        <f t="shared" si="10"/>
        <v>408.18777082091782</v>
      </c>
      <c r="CC50" s="59">
        <f t="shared" si="11"/>
        <v>701.52110415425113</v>
      </c>
      <c r="CD50" s="59">
        <f ca="1">AVERAGE(OFFSET($CC$3,0,0,'Données projet'!$E$12+1,1))-AVERAGE(OFFSET($H$3,0,0,'Données projet'!$E$12+1,1))</f>
        <v>303.1504619632214</v>
      </c>
      <c r="CE50" s="59">
        <f t="shared" si="40"/>
        <v>188.09929616366503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2.3062878254879053</v>
      </c>
      <c r="CM50" s="21">
        <f>EXP(-LN(2)/2)*CM49+(1-EXP(-LN(2)/2))/(LN(2)/2)*CG50*CJ50*VLOOKUP('Données projet'!$B$12,Paramètres!$A$1:$I$89,3,0)*0.475*44/12</f>
        <v>2.0338130313188582E-2</v>
      </c>
      <c r="CN50" s="22">
        <f t="shared" si="12"/>
        <v>2.3266259558010938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7.7</v>
      </c>
      <c r="CT50" s="12">
        <f>IF('Données projet'!$A$140&gt;35,CT49+CS50-DB49,IF(A50&lt;'Données projet'!$A$140,$CQ$205^A50,IF(A50='Données projet'!$A$140,'Données projet'!$B$140,CT49+CS50-DB49)))</f>
        <v>217.89999999999978</v>
      </c>
      <c r="CU50" s="17">
        <f>CT50*VLOOKUP('Données projet'!$B$13,Paramètres!$A$1:$I$89,3,0)*VLOOKUP('Données projet'!$B$13,Paramètres!$A$1:$I$89,5,0)</f>
        <v>146.16731999999985</v>
      </c>
      <c r="CV50" s="13">
        <f t="shared" si="41"/>
        <v>37.706287620862582</v>
      </c>
      <c r="CW50" s="20">
        <f t="shared" si="13"/>
        <v>320.24653327300206</v>
      </c>
      <c r="CX50" s="59">
        <f t="shared" si="14"/>
        <v>613.57986660633537</v>
      </c>
      <c r="CY50" s="59">
        <f ca="1">AVERAGE(OFFSET($CX$3,0,0,'Données projet'!$E$13+1,1))-AVERAGE(OFFSET($H$3,0,0,'Données projet'!$E$13+1,1))</f>
        <v>156.63226020379989</v>
      </c>
      <c r="CZ50" s="59">
        <f t="shared" si="42"/>
        <v>196.0481096619543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5.4114883078170442</v>
      </c>
      <c r="DH50" s="21">
        <f>EXP(-LN(2)/2)*DH49+(1-EXP(-LN(2)/2))/(LN(2)/2)*DB50*DE50*VLOOKUP('Données projet'!$B$13,Paramètres!$A$1:$I$89,3,0)*0.475*44/12</f>
        <v>2.5062159113601695E-2</v>
      </c>
      <c r="DI50" s="22">
        <f t="shared" si="15"/>
        <v>5.4365504669306457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-8.5265128291212022E-14</v>
      </c>
      <c r="DP50" s="17">
        <f>DO50*VLOOKUP('Données projet'!$B$14,Paramètres!$A$1:$I$89,3,0)*VLOOKUP('Données projet'!$B$14,Paramètres!$A$1:$I$89,5,0)</f>
        <v>-7.7147888077888636E-14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225.28075317732998</v>
      </c>
      <c r="DU50" s="59">
        <f t="shared" si="44"/>
        <v>358.43407531256207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1.6021979321912105</v>
      </c>
      <c r="EB50" s="21">
        <f>EXP(-LN(2)/25)*EB49+(1-EXP(-LN(2)/25))/(LN(2)/25)*Calculateur!DW50*Calculateur!DY50*VLOOKUP('Données projet'!$B$14,Paramètres!$A$1:$I$89,3,0)*0.475*44/12</f>
        <v>5.1631305279830366</v>
      </c>
      <c r="EC50" s="21">
        <f>EXP(-LN(2)/2)*EC49+(1-EXP(-LN(2)/2))/(LN(2)/2)*DW50*DZ50*VLOOKUP('Données projet'!$B$14,Paramètres!$A$1:$I$89,3,0)*0.475*44/12</f>
        <v>1.2192126026154514E-2</v>
      </c>
      <c r="ED50" s="22">
        <f t="shared" si="18"/>
        <v>6.777520586200402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19.2</v>
      </c>
      <c r="EJ50" s="12">
        <f>IF('Données projet'!$A$192&gt;35,EJ49+EI50-ER49,IF(A50&lt;'Données projet'!$A$192,$EG$205^A50,IF(A50='Données projet'!$A$192,'Données projet'!$B$192,EJ49+EI50-ER49)))</f>
        <v>451.39999999999981</v>
      </c>
      <c r="EK50" s="17">
        <f>EJ50*VLOOKUP('Données projet'!$B$15,Paramètres!$A$1:$I$89,3,0)*VLOOKUP('Données projet'!$B$15,Paramètres!$A$1:$I$89,5,0)</f>
        <v>252.3325999999999</v>
      </c>
      <c r="EL50" s="13">
        <f t="shared" si="45"/>
        <v>61.08516173401626</v>
      </c>
      <c r="EM50" s="20">
        <f t="shared" si="19"/>
        <v>545.86926835341148</v>
      </c>
      <c r="EN50" s="59">
        <f t="shared" si="20"/>
        <v>839.20260168674486</v>
      </c>
      <c r="EO50" s="59">
        <f ca="1">AVERAGE(OFFSET($EN$3,0,0,'Données projet'!$E$15+1,1))-AVERAGE(OFFSET($H$3,0,0,'Données projet'!$E$15+1,1))</f>
        <v>326.31232746914907</v>
      </c>
      <c r="EP50" s="59">
        <f t="shared" si="46"/>
        <v>330.17137761430297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3.2621678793682136</v>
      </c>
      <c r="EW50" s="21">
        <f>EXP(-LN(2)/25)*EW49+(1-EXP(-LN(2)/25))/(LN(2)/25)*Calculateur!ER50*Calculateur!ET50*VLOOKUP('Données projet'!$B$15,Paramètres!$A$1:$I$89,3,0)*0.475*44/12</f>
        <v>18.832906537020563</v>
      </c>
      <c r="EX50" s="21">
        <f>EXP(-LN(2)/2)*EX49+(1-EXP(-LN(2)/2))/(LN(2)/2)*ER50*EU50*VLOOKUP('Données projet'!$B$15,Paramètres!$A$1:$I$89,3,0)*0.475*44/12</f>
        <v>8.9830426660480134E-2</v>
      </c>
      <c r="EY50" s="22">
        <f t="shared" si="21"/>
        <v>22.184904843049257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12.4</v>
      </c>
      <c r="FE50" s="12">
        <f>IF('Données projet'!$A$218&gt;35,FE49+FD50-FM49,IF(A50&lt;'Données projet'!$A$218,$FB$205^A50,IF(A50='Données projet'!$A$218,'Données projet'!$B$218,FE49+FD50-FM49)))</f>
        <v>334.79999999999995</v>
      </c>
      <c r="FF50" s="17">
        <f>FE50*VLOOKUP('Données projet'!$B$16,Paramètres!$A$1:$I$89,3,0)*VLOOKUP('Données projet'!$B$16,Paramètres!$A$1:$I$89,5,0)</f>
        <v>208.91519999999997</v>
      </c>
      <c r="FG50" s="13">
        <f t="shared" si="47"/>
        <v>51.698458198123326</v>
      </c>
      <c r="FH50" s="20">
        <f t="shared" si="22"/>
        <v>453.90212136173136</v>
      </c>
      <c r="FI50" s="59">
        <f t="shared" si="23"/>
        <v>747.23545469506462</v>
      </c>
      <c r="FJ50" s="59">
        <f ca="1">AVERAGE(OFFSET($FI$3,0,0,'Données projet'!$E$16+1,1))-AVERAGE(OFFSET($H$3,0,0,'Données projet'!$E$16+1,1))</f>
        <v>255.41017495879987</v>
      </c>
      <c r="FK50" s="59">
        <f t="shared" si="48"/>
        <v>297.50513563712764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5.9588013695013426</v>
      </c>
      <c r="FR50" s="21">
        <f>EXP(-LN(2)/25)*FR49+(1-EXP(-LN(2)/25))/(LN(2)/25)*Calculateur!FM50*Calculateur!FO50*VLOOKUP('Données projet'!$B$16,Paramètres!$A$1:$I$89,3,0)*0.475*44/12</f>
        <v>17.395403628032053</v>
      </c>
      <c r="FS50" s="21">
        <f>EXP(-LN(2)/2)*FS49+(1-EXP(-LN(2)/2))/(LN(2)/2)*FM50*FP50*VLOOKUP('Données projet'!$B$16,Paramètres!$A$1:$I$89,3,0)*0.475*44/12</f>
        <v>6.7399405163826059E-2</v>
      </c>
      <c r="FT50" s="22">
        <f t="shared" si="24"/>
        <v>23.42160440269722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18.8</v>
      </c>
      <c r="FZ50" s="12">
        <f>IF('Données projet'!$A$244&gt;35,FZ49+FY50-GH49,IF(A50&lt;'Données projet'!$A$244,$FW$205^A50,IF(A50='Données projet'!$A$244,'Données projet'!$B$244,FZ49+FY50-GH49)))</f>
        <v>344.60000000000014</v>
      </c>
      <c r="GA50" s="17">
        <f>FZ50*VLOOKUP('Données projet'!$B$17,Paramètres!$A$1:$I$89,3,0)*VLOOKUP('Données projet'!$B$17,Paramètres!$A$1:$I$89,5,0)</f>
        <v>206.07080000000011</v>
      </c>
      <c r="GB50" s="13">
        <f t="shared" si="49"/>
        <v>51.076015061754575</v>
      </c>
      <c r="GC50" s="20">
        <f t="shared" si="25"/>
        <v>447.86403623255609</v>
      </c>
      <c r="GD50" s="59">
        <f t="shared" si="26"/>
        <v>741.1973695658894</v>
      </c>
      <c r="GE50" s="59">
        <f ca="1">AVERAGE(OFFSET($GD$3,0,0,'Données projet'!$E$17+1,1))-AVERAGE(OFFSET($H$3,0,0,'Données projet'!$E$17+1,1))</f>
        <v>259.30247982593914</v>
      </c>
      <c r="GF50" s="59">
        <f t="shared" si="50"/>
        <v>275.24740346220779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11.255580528291897</v>
      </c>
      <c r="GN50" s="21">
        <f>EXP(-LN(2)/2)*GN49+(1-EXP(-LN(2)/2))/(LN(2)/2)*GH50*GK50*VLOOKUP('Données projet'!$B$17,Paramètres!$A$1:$I$89,3,0)*0.475*44/12</f>
        <v>7.9219355285997425E-2</v>
      </c>
      <c r="GO50" s="21">
        <f t="shared" si="27"/>
        <v>11.334799883577896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7.7</v>
      </c>
      <c r="GU50" s="12">
        <f>IF('Données projet'!$A$270&gt;35,GU49+GT50-HC49,IF(A50&lt;'Données projet'!$A$270,$GR$205^A50,IF(A50='Données projet'!$A$270,'Données projet'!$B$270,GU49+GT50-HC49)))</f>
        <v>217.89999999999978</v>
      </c>
      <c r="GV50" s="17">
        <f>GU50*VLOOKUP('Données projet'!$B$18,Paramètres!$A$1:$I$89,3,0)*VLOOKUP('Données projet'!$B$18,Paramètres!$A$1:$I$89,5,0)</f>
        <v>173.36123999999984</v>
      </c>
      <c r="GW50" s="13">
        <f t="shared" si="51"/>
        <v>43.841969562839758</v>
      </c>
      <c r="GX50" s="20">
        <f t="shared" si="28"/>
        <v>378.29558998861233</v>
      </c>
      <c r="GY50" s="59">
        <f t="shared" si="29"/>
        <v>671.62892332194565</v>
      </c>
      <c r="GZ50" s="59">
        <f ca="1">AVERAGE(OFFSET($GY$3,0,0,'Données projet'!$E$18+1,1))-AVERAGE(OFFSET($H$3,0,0,'Données projet'!$E$18+1,1))</f>
        <v>199.58763537752952</v>
      </c>
      <c r="HA50" s="59">
        <f t="shared" si="52"/>
        <v>242.62852778451929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0</v>
      </c>
      <c r="HH50" s="21">
        <f>EXP(-LN(2)/25)*HH49+(1-EXP(-LN(2)/25))/(LN(2)/25)*Calculateur!HC50*Calculateur!HE50*VLOOKUP('Données projet'!$B$18,Paramètres!$A$1:$I$89,3,0)*0.475*44/12</f>
        <v>6.4182768302016076</v>
      </c>
      <c r="HI50" s="21">
        <f>EXP(-LN(2)/2)*HI49+(1-EXP(-LN(2)/2))/(LN(2)/2)*HC50*HF50*VLOOKUP('Données projet'!$B$18,Paramètres!$A$1:$I$89,3,0)*0.475*44/12</f>
        <v>2.9724886390550872E-2</v>
      </c>
      <c r="HJ50" s="22">
        <f t="shared" si="30"/>
        <v>6.4480017165921586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8.3000000000000007</v>
      </c>
      <c r="N51" s="13">
        <f>IF('Données projet'!$A$36&gt;35,N50+M51-V50,IF(A51&lt;'Données projet'!$A$36,$K$205^A51,IF(A51='Données projet'!$A$36,'Données projet'!$B$36,N50+M51-V50)))</f>
        <v>182.40000000000003</v>
      </c>
      <c r="O51" s="13">
        <f>N51*VLOOKUP('Données projet'!$B$9,Paramètres!$A$1:$I$89,3,0)*VLOOKUP('Données projet'!$B$9,Paramètres!$A$1:$I$89,5,0)</f>
        <v>165.03552000000002</v>
      </c>
      <c r="P51" s="13">
        <f t="shared" si="33"/>
        <v>41.976234598846517</v>
      </c>
      <c r="Q51" s="20">
        <f t="shared" si="53"/>
        <v>360.54547259299108</v>
      </c>
      <c r="R51" s="59">
        <f t="shared" si="0"/>
        <v>653.87880592632439</v>
      </c>
      <c r="S51" s="59">
        <f ca="1">AVERAGE(OFFSET($R$3,0,0,'Données projet'!$E$9+1,1))-AVERAGE(OFFSET($H$3,0,0,'Données projet'!$E$9+1,1))</f>
        <v>237.22177246688199</v>
      </c>
      <c r="T51" s="59">
        <f t="shared" si="34"/>
        <v>149.27472147904302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1.8856071201422742</v>
      </c>
      <c r="AB51" s="21">
        <f>EXP(-LN(2)/2)*AB50+(1-EXP(-LN(2)/2))/(LN(2)/2)*V51*Y51*VLOOKUP('Données projet'!$B$9,Paramètres!$A$1:$I$89,3,0)*0.475*44/12</f>
        <v>1.2088570028180522E-2</v>
      </c>
      <c r="AC51" s="22">
        <f t="shared" si="3"/>
        <v>1.8976956901704547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8.3000000000000007</v>
      </c>
      <c r="AI51" s="13">
        <f>IF('Données projet'!$A$62&gt;35,AI50+AH51-AQ50,IF(A51&lt;'Données projet'!$A$62,$AF$205^A51,IF(A51='Données projet'!$A$62,'Données projet'!$B$62,AI50+AH51-AQ50)))</f>
        <v>182.40000000000003</v>
      </c>
      <c r="AJ51" s="13">
        <f>AI51*VLOOKUP('Données projet'!$B$10,Paramètres!$A$1:$I$89,3,0)*VLOOKUP('Données projet'!$B$10,Paramètres!$A$1:$I$89,5,0)</f>
        <v>184.95360000000005</v>
      </c>
      <c r="AK51" s="13">
        <f t="shared" si="35"/>
        <v>46.42252355095799</v>
      </c>
      <c r="AL51" s="20">
        <f t="shared" si="4"/>
        <v>402.9800818512519</v>
      </c>
      <c r="AM51" s="59">
        <f t="shared" si="5"/>
        <v>696.31341518458521</v>
      </c>
      <c r="AN51" s="59">
        <f ca="1">AVERAGE(OFFSET($AM$3,0,0,'Données projet'!$E$10+1,1))-AVERAGE(OFFSET($H$3,0,0,'Données projet'!$E$10+1,1))</f>
        <v>279.20364724206644</v>
      </c>
      <c r="AO51" s="59">
        <f t="shared" si="36"/>
        <v>173.99850582760712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2.1131803932628936</v>
      </c>
      <c r="AW51" s="21">
        <f>EXP(-LN(2)/2)*AW50+(1-EXP(-LN(2)/2))/(LN(2)/2)*AQ51*AT51*VLOOKUP('Données projet'!$B$10,Paramètres!$A$1:$I$89,3,0)*0.475*44/12</f>
        <v>1.3547535376409204E-2</v>
      </c>
      <c r="AX51" s="21">
        <f t="shared" si="6"/>
        <v>2.126727928639303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11.499999999999996</v>
      </c>
      <c r="BD51" s="12">
        <f>IF('Données projet'!$A$88&gt;35,BD50+BC51-BL50,IF(A51&lt;'Données projet'!$A$88,$BA$205^A51,IF(A51='Données projet'!$A$88,'Données projet'!$B$88,BD50+BC51-BL50)))</f>
        <v>300.19999999999987</v>
      </c>
      <c r="BE51" s="13">
        <f>BD51*VLOOKUP('Données projet'!$B$11,Paramètres!$A$1:$I$89,3,0)*VLOOKUP('Données projet'!$B$11,Paramètres!$A$1:$I$89,5,0)</f>
        <v>140.49359999999993</v>
      </c>
      <c r="BF51" s="13">
        <f t="shared" si="37"/>
        <v>36.410059151057915</v>
      </c>
      <c r="BG51" s="20">
        <f t="shared" si="7"/>
        <v>308.10720635475906</v>
      </c>
      <c r="BH51" s="59">
        <f t="shared" si="8"/>
        <v>601.44053968809237</v>
      </c>
      <c r="BI51" s="59">
        <f ca="1">AVERAGE(OFFSET($BH$3,0,0,'Données projet'!$E$11+1,1))-AVERAGE(OFFSET($H$3,0,0,'Données projet'!$E$11+1,1))</f>
        <v>215.23235148064941</v>
      </c>
      <c r="BJ51" s="59">
        <f t="shared" si="38"/>
        <v>184.07239726900434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2.194644362970648</v>
      </c>
      <c r="BQ51" s="21">
        <f>EXP(-LN(2)/25)*BQ50+(1-EXP(-LN(2)/25))/(LN(2)/25)*Calculateur!BL51*Calculateur!BN51*VLOOKUP('Données projet'!$B$11,Paramètres!$A$1:$I$89,3,0)*0.475*44/12</f>
        <v>4.7690323165831092</v>
      </c>
      <c r="BR51" s="21">
        <f>EXP(-LN(2)/2)*BR50+(1-EXP(-LN(2)/2))/(LN(2)/2)*BL51*BO51*VLOOKUP('Données projet'!$B$11,Paramètres!$A$1:$I$89,3,0)*0.475*44/12</f>
        <v>1.9203469688078109E-2</v>
      </c>
      <c r="BS51" s="22">
        <f t="shared" si="9"/>
        <v>6.9828801492418346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8.3000000000000007</v>
      </c>
      <c r="BY51" s="12">
        <f>IF('Données projet'!$A$114&gt;35,BY50+BX51-CG50,IF(A51&lt;'Données projet'!$A$114,$BV$205^A51,IF(A51='Données projet'!$A$114,'Données projet'!$B$114,BY50+BX51-CG50)))</f>
        <v>182.40000000000003</v>
      </c>
      <c r="BZ51" s="13">
        <f>BY51*VLOOKUP('Données projet'!$B$12,Paramètres!$A$1:$I$89,3,0)*VLOOKUP('Données projet'!$B$12,Paramètres!$A$1:$I$89,5,0)</f>
        <v>196.33536000000001</v>
      </c>
      <c r="CA51" s="13">
        <f t="shared" si="39"/>
        <v>48.937925995037986</v>
      </c>
      <c r="CB51" s="20">
        <f t="shared" si="10"/>
        <v>427.18430644135782</v>
      </c>
      <c r="CC51" s="59">
        <f t="shared" si="11"/>
        <v>720.51763977469113</v>
      </c>
      <c r="CD51" s="59">
        <f ca="1">AVERAGE(OFFSET($CC$3,0,0,'Données projet'!$E$12+1,1))-AVERAGE(OFFSET($H$3,0,0,'Données projet'!$E$12+1,1))</f>
        <v>303.1504619632214</v>
      </c>
      <c r="CE51" s="59">
        <f t="shared" si="40"/>
        <v>188.09929616366503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2.243222263617533</v>
      </c>
      <c r="CM51" s="21">
        <f>EXP(-LN(2)/2)*CM50+(1-EXP(-LN(2)/2))/(LN(2)/2)*CG51*CJ51*VLOOKUP('Données projet'!$B$12,Paramètres!$A$1:$I$89,3,0)*0.475*44/12</f>
        <v>1.4381229861111329E-2</v>
      </c>
      <c r="CN51" s="22">
        <f t="shared" si="12"/>
        <v>2.2576034934786442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7.7</v>
      </c>
      <c r="CT51" s="12">
        <f>IF('Données projet'!$A$140&gt;35,CT50+CS51-DB50,IF(A51&lt;'Données projet'!$A$140,$CQ$205^A51,IF(A51='Données projet'!$A$140,'Données projet'!$B$140,CT50+CS51-DB50)))</f>
        <v>225.59999999999977</v>
      </c>
      <c r="CU51" s="17">
        <f>CT51*VLOOKUP('Données projet'!$B$13,Paramètres!$A$1:$I$89,3,0)*VLOOKUP('Données projet'!$B$13,Paramètres!$A$1:$I$89,5,0)</f>
        <v>151.33247999999983</v>
      </c>
      <c r="CV51" s="13">
        <f t="shared" si="41"/>
        <v>38.881240443489759</v>
      </c>
      <c r="CW51" s="20">
        <f t="shared" si="13"/>
        <v>331.28889643907769</v>
      </c>
      <c r="CX51" s="59">
        <f t="shared" si="14"/>
        <v>624.62222977241095</v>
      </c>
      <c r="CY51" s="59">
        <f ca="1">AVERAGE(OFFSET($CX$3,0,0,'Données projet'!$E$13+1,1))-AVERAGE(OFFSET($H$3,0,0,'Données projet'!$E$13+1,1))</f>
        <v>156.63226020379989</v>
      </c>
      <c r="CZ51" s="59">
        <f t="shared" si="42"/>
        <v>196.0481096619543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5.2635108754619848</v>
      </c>
      <c r="DH51" s="21">
        <f>EXP(-LN(2)/2)*DH50+(1-EXP(-LN(2)/2))/(LN(2)/2)*DB51*DE51*VLOOKUP('Données projet'!$B$13,Paramètres!$A$1:$I$89,3,0)*0.475*44/12</f>
        <v>1.7721622660403991E-2</v>
      </c>
      <c r="DI51" s="22">
        <f t="shared" si="15"/>
        <v>5.2812324981223888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-8.5265128291212022E-14</v>
      </c>
      <c r="DP51" s="17">
        <f>DO51*VLOOKUP('Données projet'!$B$14,Paramètres!$A$1:$I$89,3,0)*VLOOKUP('Données projet'!$B$14,Paramètres!$A$1:$I$89,5,0)</f>
        <v>-7.7147888077888636E-14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225.28075317732998</v>
      </c>
      <c r="DU51" s="59">
        <f t="shared" si="44"/>
        <v>358.43407531256207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1.5707798079851847</v>
      </c>
      <c r="EB51" s="21">
        <f>EXP(-LN(2)/25)*EB50+(1-EXP(-LN(2)/25))/(LN(2)/25)*Calculateur!DW51*Calculateur!DY51*VLOOKUP('Données projet'!$B$14,Paramètres!$A$1:$I$89,3,0)*0.475*44/12</f>
        <v>5.0219444521781069</v>
      </c>
      <c r="EC51" s="21">
        <f>EXP(-LN(2)/2)*EC50+(1-EXP(-LN(2)/2))/(LN(2)/2)*DW51*DZ51*VLOOKUP('Données projet'!$B$14,Paramètres!$A$1:$I$89,3,0)*0.475*44/12</f>
        <v>8.6211349901748509E-3</v>
      </c>
      <c r="ED51" s="22">
        <f t="shared" si="18"/>
        <v>6.6013453951534666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19.2</v>
      </c>
      <c r="EJ51" s="12">
        <f>IF('Données projet'!$A$192&gt;35,EJ50+EI51-ER50,IF(A51&lt;'Données projet'!$A$192,$EG$205^A51,IF(A51='Données projet'!$A$192,'Données projet'!$B$192,EJ50+EI51-ER50)))</f>
        <v>470.5999999999998</v>
      </c>
      <c r="EK51" s="17">
        <f>EJ51*VLOOKUP('Données projet'!$B$15,Paramètres!$A$1:$I$89,3,0)*VLOOKUP('Données projet'!$B$15,Paramètres!$A$1:$I$89,5,0)</f>
        <v>263.0653999999999</v>
      </c>
      <c r="EL51" s="13">
        <f t="shared" si="45"/>
        <v>63.375350953508303</v>
      </c>
      <c r="EM51" s="20">
        <f t="shared" si="19"/>
        <v>568.55097457736008</v>
      </c>
      <c r="EN51" s="59">
        <f t="shared" si="20"/>
        <v>861.88430791069345</v>
      </c>
      <c r="EO51" s="59">
        <f ca="1">AVERAGE(OFFSET($EN$3,0,0,'Données projet'!$E$15+1,1))-AVERAGE(OFFSET($H$3,0,0,'Données projet'!$E$15+1,1))</f>
        <v>326.31232746914907</v>
      </c>
      <c r="EP51" s="59">
        <f t="shared" si="46"/>
        <v>330.17137761430297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3.1981987569797403</v>
      </c>
      <c r="EW51" s="21">
        <f>EXP(-LN(2)/25)*EW50+(1-EXP(-LN(2)/25))/(LN(2)/25)*Calculateur!ER51*Calculateur!ET51*VLOOKUP('Données projet'!$B$15,Paramètres!$A$1:$I$89,3,0)*0.475*44/12</f>
        <v>18.317919717386225</v>
      </c>
      <c r="EX51" s="21">
        <f>EXP(-LN(2)/2)*EX50+(1-EXP(-LN(2)/2))/(LN(2)/2)*ER51*EU51*VLOOKUP('Données projet'!$B$15,Paramètres!$A$1:$I$89,3,0)*0.475*44/12</f>
        <v>6.3519703848506331E-2</v>
      </c>
      <c r="EY51" s="22">
        <f t="shared" si="21"/>
        <v>21.57963817821447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12.4</v>
      </c>
      <c r="FE51" s="12">
        <f>IF('Données projet'!$A$218&gt;35,FE50+FD51-FM50,IF(A51&lt;'Données projet'!$A$218,$FB$205^A51,IF(A51='Données projet'!$A$218,'Données projet'!$B$218,FE50+FD51-FM50)))</f>
        <v>347.19999999999993</v>
      </c>
      <c r="FF51" s="17">
        <f>FE51*VLOOKUP('Données projet'!$B$16,Paramètres!$A$1:$I$89,3,0)*VLOOKUP('Données projet'!$B$16,Paramètres!$A$1:$I$89,5,0)</f>
        <v>216.65279999999993</v>
      </c>
      <c r="FG51" s="13">
        <f t="shared" si="47"/>
        <v>53.38674047237982</v>
      </c>
      <c r="FH51" s="20">
        <f t="shared" si="22"/>
        <v>470.31886632272807</v>
      </c>
      <c r="FI51" s="59">
        <f t="shared" si="23"/>
        <v>763.65219965606138</v>
      </c>
      <c r="FJ51" s="59">
        <f ca="1">AVERAGE(OFFSET($FI$3,0,0,'Données projet'!$E$16+1,1))-AVERAGE(OFFSET($H$3,0,0,'Données projet'!$E$16+1,1))</f>
        <v>255.41017495879987</v>
      </c>
      <c r="FK51" s="59">
        <f t="shared" si="48"/>
        <v>297.50513563712764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5.8419529091553786</v>
      </c>
      <c r="FR51" s="21">
        <f>EXP(-LN(2)/25)*FR50+(1-EXP(-LN(2)/25))/(LN(2)/25)*Calculateur!FM51*Calculateur!FO51*VLOOKUP('Données projet'!$B$16,Paramètres!$A$1:$I$89,3,0)*0.475*44/12</f>
        <v>16.919725401038999</v>
      </c>
      <c r="FS51" s="21">
        <f>EXP(-LN(2)/2)*FS50+(1-EXP(-LN(2)/2))/(LN(2)/2)*FM51*FP51*VLOOKUP('Données projet'!$B$16,Paramètres!$A$1:$I$89,3,0)*0.475*44/12</f>
        <v>4.7658576439281015E-2</v>
      </c>
      <c r="FT51" s="22">
        <f t="shared" si="24"/>
        <v>22.809336886633659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18.8</v>
      </c>
      <c r="FZ51" s="12">
        <f>IF('Données projet'!$A$244&gt;35,FZ50+FY51-GH50,IF(A51&lt;'Données projet'!$A$244,$FW$205^A51,IF(A51='Données projet'!$A$244,'Données projet'!$B$244,FZ50+FY51-GH50)))</f>
        <v>363.40000000000015</v>
      </c>
      <c r="GA51" s="17">
        <f>FZ51*VLOOKUP('Données projet'!$B$17,Paramètres!$A$1:$I$89,3,0)*VLOOKUP('Données projet'!$B$17,Paramètres!$A$1:$I$89,5,0)</f>
        <v>217.31320000000011</v>
      </c>
      <c r="GB51" s="13">
        <f t="shared" si="49"/>
        <v>53.530506047441797</v>
      </c>
      <c r="GC51" s="20">
        <f t="shared" si="25"/>
        <v>471.71945469929466</v>
      </c>
      <c r="GD51" s="59">
        <f t="shared" si="26"/>
        <v>765.05278803262797</v>
      </c>
      <c r="GE51" s="59">
        <f ca="1">AVERAGE(OFFSET($GD$3,0,0,'Données projet'!$E$17+1,1))-AVERAGE(OFFSET($H$3,0,0,'Données projet'!$E$17+1,1))</f>
        <v>259.30247982593914</v>
      </c>
      <c r="GF51" s="59">
        <f t="shared" si="50"/>
        <v>275.24740346220779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10.947796086840501</v>
      </c>
      <c r="GN51" s="21">
        <f>EXP(-LN(2)/2)*GN50+(1-EXP(-LN(2)/2))/(LN(2)/2)*GH51*GK51*VLOOKUP('Données projet'!$B$17,Paramètres!$A$1:$I$89,3,0)*0.475*44/12</f>
        <v>5.6016543323955149E-2</v>
      </c>
      <c r="GO51" s="21">
        <f t="shared" si="27"/>
        <v>11.003812630164456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7.7</v>
      </c>
      <c r="GU51" s="12">
        <f>IF('Données projet'!$A$270&gt;35,GU50+GT51-HC50,IF(A51&lt;'Données projet'!$A$270,$GR$205^A51,IF(A51='Données projet'!$A$270,'Données projet'!$B$270,GU50+GT51-HC50)))</f>
        <v>225.59999999999977</v>
      </c>
      <c r="GV51" s="17">
        <f>GU51*VLOOKUP('Données projet'!$B$18,Paramètres!$A$1:$I$89,3,0)*VLOOKUP('Données projet'!$B$18,Paramètres!$A$1:$I$89,5,0)</f>
        <v>179.48735999999982</v>
      </c>
      <c r="GW51" s="13">
        <f t="shared" si="51"/>
        <v>45.208114286641525</v>
      </c>
      <c r="GX51" s="20">
        <f t="shared" si="28"/>
        <v>391.34461771590031</v>
      </c>
      <c r="GY51" s="59">
        <f t="shared" si="29"/>
        <v>684.67795104923357</v>
      </c>
      <c r="GZ51" s="59">
        <f ca="1">AVERAGE(OFFSET($GY$3,0,0,'Données projet'!$E$18+1,1))-AVERAGE(OFFSET($H$3,0,0,'Données projet'!$E$18+1,1))</f>
        <v>199.58763537752952</v>
      </c>
      <c r="HA51" s="59">
        <f t="shared" si="52"/>
        <v>242.62852778451929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0</v>
      </c>
      <c r="HH51" s="21">
        <f>EXP(-LN(2)/25)*HH50+(1-EXP(-LN(2)/25))/(LN(2)/25)*Calculateur!HC51*Calculateur!HE51*VLOOKUP('Données projet'!$B$18,Paramètres!$A$1:$I$89,3,0)*0.475*44/12</f>
        <v>6.2427687127572353</v>
      </c>
      <c r="HI51" s="21">
        <f>EXP(-LN(2)/2)*HI50+(1-EXP(-LN(2)/2))/(LN(2)/2)*HC51*HF51*VLOOKUP('Données projet'!$B$18,Paramètres!$A$1:$I$89,3,0)*0.475*44/12</f>
        <v>2.1018668736758242E-2</v>
      </c>
      <c r="HJ51" s="22">
        <f t="shared" si="30"/>
        <v>6.2637873814939935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8.3000000000000007</v>
      </c>
      <c r="N52" s="13">
        <f>IF('Données projet'!$A$36&gt;35,N51+M52-V51,IF(A52&lt;'Données projet'!$A$36,$K$205^A52,IF(A52='Données projet'!$A$36,'Données projet'!$B$36,N51+M52-V51)))</f>
        <v>190.70000000000005</v>
      </c>
      <c r="O52" s="13">
        <f>N52*VLOOKUP('Données projet'!$B$9,Paramètres!$A$1:$I$89,3,0)*VLOOKUP('Données projet'!$B$9,Paramètres!$A$1:$I$89,5,0)</f>
        <v>172.54536000000004</v>
      </c>
      <c r="P52" s="13">
        <f t="shared" si="33"/>
        <v>43.65960552772448</v>
      </c>
      <c r="Q52" s="20">
        <f t="shared" si="53"/>
        <v>376.55698162745358</v>
      </c>
      <c r="R52" s="59">
        <f t="shared" si="0"/>
        <v>669.8903149607869</v>
      </c>
      <c r="S52" s="59">
        <f ca="1">AVERAGE(OFFSET($R$3,0,0,'Données projet'!$E$9+1,1))-AVERAGE(OFFSET($H$3,0,0,'Données projet'!$E$9+1,1))</f>
        <v>237.22177246688199</v>
      </c>
      <c r="T52" s="59">
        <f t="shared" si="34"/>
        <v>149.27472147904302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1.8340450942822148</v>
      </c>
      <c r="AB52" s="21">
        <f>EXP(-LN(2)/2)*AB51+(1-EXP(-LN(2)/2))/(LN(2)/2)*V52*Y52*VLOOKUP('Données projet'!$B$9,Paramètres!$A$1:$I$89,3,0)*0.475*44/12</f>
        <v>8.5479098417749009E-3</v>
      </c>
      <c r="AC52" s="22">
        <f t="shared" si="3"/>
        <v>1.8425930041239897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8.3000000000000007</v>
      </c>
      <c r="AI52" s="13">
        <f>IF('Données projet'!$A$62&gt;35,AI51+AH52-AQ51,IF(A52&lt;'Données projet'!$A$62,$AF$205^A52,IF(A52='Données projet'!$A$62,'Données projet'!$B$62,AI51+AH52-AQ51)))</f>
        <v>190.70000000000005</v>
      </c>
      <c r="AJ52" s="13">
        <f>AI52*VLOOKUP('Données projet'!$B$10,Paramètres!$A$1:$I$89,3,0)*VLOOKUP('Données projet'!$B$10,Paramètres!$A$1:$I$89,5,0)</f>
        <v>193.36980000000005</v>
      </c>
      <c r="AK52" s="13">
        <f t="shared" si="35"/>
        <v>48.284203793067718</v>
      </c>
      <c r="AL52" s="20">
        <f t="shared" si="4"/>
        <v>420.88072327292639</v>
      </c>
      <c r="AM52" s="59">
        <f t="shared" si="5"/>
        <v>714.21405660625965</v>
      </c>
      <c r="AN52" s="59">
        <f ca="1">AVERAGE(OFFSET($AM$3,0,0,'Données projet'!$E$10+1,1))-AVERAGE(OFFSET($H$3,0,0,'Données projet'!$E$10+1,1))</f>
        <v>279.20364724206644</v>
      </c>
      <c r="AO52" s="59">
        <f t="shared" si="36"/>
        <v>173.99850582760712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2.0553953642817926</v>
      </c>
      <c r="AW52" s="21">
        <f>EXP(-LN(2)/2)*AW51+(1-EXP(-LN(2)/2))/(LN(2)/2)*AQ52*AT52*VLOOKUP('Données projet'!$B$10,Paramètres!$A$1:$I$89,3,0)*0.475*44/12</f>
        <v>9.5795541330235944E-3</v>
      </c>
      <c r="AX52" s="21">
        <f t="shared" si="6"/>
        <v>2.0649749184148161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11.499999999999996</v>
      </c>
      <c r="BD52" s="12">
        <f>IF('Données projet'!$A$88&gt;35,BD51+BC52-BL51,IF(A52&lt;'Données projet'!$A$88,$BA$205^A52,IF(A52='Données projet'!$A$88,'Données projet'!$B$88,BD51+BC52-BL51)))</f>
        <v>311.69999999999987</v>
      </c>
      <c r="BE52" s="13">
        <f>BD52*VLOOKUP('Données projet'!$B$11,Paramètres!$A$1:$I$89,3,0)*VLOOKUP('Données projet'!$B$11,Paramètres!$A$1:$I$89,5,0)</f>
        <v>145.87559999999993</v>
      </c>
      <c r="BF52" s="13">
        <f t="shared" si="37"/>
        <v>37.639785440563628</v>
      </c>
      <c r="BG52" s="20">
        <f t="shared" si="7"/>
        <v>319.62262964231485</v>
      </c>
      <c r="BH52" s="59">
        <f t="shared" si="8"/>
        <v>612.95596297564816</v>
      </c>
      <c r="BI52" s="59">
        <f ca="1">AVERAGE(OFFSET($BH$3,0,0,'Données projet'!$E$11+1,1))-AVERAGE(OFFSET($H$3,0,0,'Données projet'!$E$11+1,1))</f>
        <v>215.23235148064941</v>
      </c>
      <c r="BJ52" s="59">
        <f t="shared" si="38"/>
        <v>184.07239726900434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2.1516087256136793</v>
      </c>
      <c r="BQ52" s="21">
        <f>EXP(-LN(2)/25)*BQ51+(1-EXP(-LN(2)/25))/(LN(2)/25)*Calculateur!BL52*Calculateur!BN52*VLOOKUP('Données projet'!$B$11,Paramètres!$A$1:$I$89,3,0)*0.475*44/12</f>
        <v>4.638622877093634</v>
      </c>
      <c r="BR52" s="21">
        <f>EXP(-LN(2)/2)*BR51+(1-EXP(-LN(2)/2))/(LN(2)/2)*BL52*BO52*VLOOKUP('Données projet'!$B$11,Paramètres!$A$1:$I$89,3,0)*0.475*44/12</f>
        <v>1.3578903638750346E-2</v>
      </c>
      <c r="BS52" s="22">
        <f t="shared" si="9"/>
        <v>6.8038105063460641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8.3000000000000007</v>
      </c>
      <c r="BY52" s="12">
        <f>IF('Données projet'!$A$114&gt;35,BY51+BX52-CG51,IF(A52&lt;'Données projet'!$A$114,$BV$205^A52,IF(A52='Données projet'!$A$114,'Données projet'!$B$114,BY51+BX52-CG51)))</f>
        <v>190.70000000000005</v>
      </c>
      <c r="BZ52" s="13">
        <f>BY52*VLOOKUP('Données projet'!$B$12,Paramètres!$A$1:$I$89,3,0)*VLOOKUP('Données projet'!$B$12,Paramètres!$A$1:$I$89,5,0)</f>
        <v>205.26948000000004</v>
      </c>
      <c r="CA52" s="13">
        <f t="shared" si="39"/>
        <v>50.900481301079985</v>
      </c>
      <c r="CB52" s="20">
        <f t="shared" si="10"/>
        <v>446.16268259938101</v>
      </c>
      <c r="CC52" s="59">
        <f t="shared" si="11"/>
        <v>739.49601593271427</v>
      </c>
      <c r="CD52" s="59">
        <f ca="1">AVERAGE(OFFSET($CC$3,0,0,'Données projet'!$E$12+1,1))-AVERAGE(OFFSET($H$3,0,0,'Données projet'!$E$12+1,1))</f>
        <v>303.1504619632214</v>
      </c>
      <c r="CE52" s="59">
        <f t="shared" si="40"/>
        <v>188.09929616366503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2.1818812328529797</v>
      </c>
      <c r="CM52" s="21">
        <f>EXP(-LN(2)/2)*CM51+(1-EXP(-LN(2)/2))/(LN(2)/2)*CG52*CJ52*VLOOKUP('Données projet'!$B$12,Paramètres!$A$1:$I$89,3,0)*0.475*44/12</f>
        <v>1.0169065156594293E-2</v>
      </c>
      <c r="CN52" s="22">
        <f t="shared" si="12"/>
        <v>2.192050298009574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7.7</v>
      </c>
      <c r="CT52" s="12">
        <f>IF('Données projet'!$A$140&gt;35,CT51+CS52-DB51,IF(A52&lt;'Données projet'!$A$140,$CQ$205^A52,IF(A52='Données projet'!$A$140,'Données projet'!$B$140,CT51+CS52-DB51)))</f>
        <v>233.29999999999976</v>
      </c>
      <c r="CU52" s="17">
        <f>CT52*VLOOKUP('Données projet'!$B$13,Paramètres!$A$1:$I$89,3,0)*VLOOKUP('Données projet'!$B$13,Paramètres!$A$1:$I$89,5,0)</f>
        <v>156.49763999999982</v>
      </c>
      <c r="CV52" s="13">
        <f t="shared" si="41"/>
        <v>40.051533633118169</v>
      </c>
      <c r="CW52" s="20">
        <f t="shared" si="13"/>
        <v>342.32314407768052</v>
      </c>
      <c r="CX52" s="59">
        <f t="shared" si="14"/>
        <v>635.65647741101384</v>
      </c>
      <c r="CY52" s="59">
        <f ca="1">AVERAGE(OFFSET($CX$3,0,0,'Données projet'!$E$13+1,1))-AVERAGE(OFFSET($H$3,0,0,'Données projet'!$E$13+1,1))</f>
        <v>156.63226020379989</v>
      </c>
      <c r="CZ52" s="59">
        <f t="shared" si="42"/>
        <v>196.0481096619543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5.1195798937764696</v>
      </c>
      <c r="DH52" s="21">
        <f>EXP(-LN(2)/2)*DH51+(1-EXP(-LN(2)/2))/(LN(2)/2)*DB52*DE52*VLOOKUP('Données projet'!$B$13,Paramètres!$A$1:$I$89,3,0)*0.475*44/12</f>
        <v>1.2531079556800847E-2</v>
      </c>
      <c r="DI52" s="22">
        <f t="shared" si="15"/>
        <v>5.1321109733332708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-8.5265128291212022E-14</v>
      </c>
      <c r="DP52" s="17">
        <f>DO52*VLOOKUP('Données projet'!$B$14,Paramètres!$A$1:$I$89,3,0)*VLOOKUP('Données projet'!$B$14,Paramètres!$A$1:$I$89,5,0)</f>
        <v>-7.7147888077888636E-14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225.28075317732998</v>
      </c>
      <c r="DU52" s="59">
        <f t="shared" si="44"/>
        <v>358.43407531256207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1.5399777740316754</v>
      </c>
      <c r="EB52" s="21">
        <f>EXP(-LN(2)/25)*EB51+(1-EXP(-LN(2)/25))/(LN(2)/25)*Calculateur!DW52*Calculateur!DY52*VLOOKUP('Données projet'!$B$14,Paramètres!$A$1:$I$89,3,0)*0.475*44/12</f>
        <v>4.8846191170407156</v>
      </c>
      <c r="EC52" s="21">
        <f>EXP(-LN(2)/2)*EC51+(1-EXP(-LN(2)/2))/(LN(2)/2)*DW52*DZ52*VLOOKUP('Données projet'!$B$14,Paramètres!$A$1:$I$89,3,0)*0.475*44/12</f>
        <v>6.0960630130772568E-3</v>
      </c>
      <c r="ED52" s="22">
        <f t="shared" si="18"/>
        <v>6.430692954085468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19.2</v>
      </c>
      <c r="EJ52" s="12">
        <f>IF('Données projet'!$A$192&gt;35,EJ51+EI52-ER51,IF(A52&lt;'Données projet'!$A$192,$EG$205^A52,IF(A52='Données projet'!$A$192,'Données projet'!$B$192,EJ51+EI52-ER51)))</f>
        <v>489.79999999999978</v>
      </c>
      <c r="EK52" s="17">
        <f>EJ52*VLOOKUP('Données projet'!$B$15,Paramètres!$A$1:$I$89,3,0)*VLOOKUP('Données projet'!$B$15,Paramètres!$A$1:$I$89,5,0)</f>
        <v>273.79819999999989</v>
      </c>
      <c r="EL52" s="13">
        <f t="shared" si="45"/>
        <v>65.654686665964775</v>
      </c>
      <c r="EM52" s="20">
        <f t="shared" si="19"/>
        <v>591.21377760988844</v>
      </c>
      <c r="EN52" s="59">
        <f t="shared" si="20"/>
        <v>884.5471109432217</v>
      </c>
      <c r="EO52" s="59">
        <f ca="1">AVERAGE(OFFSET($EN$3,0,0,'Données projet'!$E$15+1,1))-AVERAGE(OFFSET($H$3,0,0,'Données projet'!$E$15+1,1))</f>
        <v>326.31232746914907</v>
      </c>
      <c r="EP52" s="59">
        <f t="shared" si="46"/>
        <v>330.17137761430297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3.135484030063993</v>
      </c>
      <c r="EW52" s="21">
        <f>EXP(-LN(2)/25)*EW51+(1-EXP(-LN(2)/25))/(LN(2)/25)*Calculateur!ER52*Calculateur!ET52*VLOOKUP('Données projet'!$B$15,Paramètres!$A$1:$I$89,3,0)*0.475*44/12</f>
        <v>17.817015239416765</v>
      </c>
      <c r="EX52" s="21">
        <f>EXP(-LN(2)/2)*EX51+(1-EXP(-LN(2)/2))/(LN(2)/2)*ER52*EU52*VLOOKUP('Données projet'!$B$15,Paramètres!$A$1:$I$89,3,0)*0.475*44/12</f>
        <v>4.4915213330240067E-2</v>
      </c>
      <c r="EY52" s="22">
        <f t="shared" si="21"/>
        <v>20.997414482810996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12.4</v>
      </c>
      <c r="FE52" s="12">
        <f>IF('Données projet'!$A$218&gt;35,FE51+FD52-FM51,IF(A52&lt;'Données projet'!$A$218,$FB$205^A52,IF(A52='Données projet'!$A$218,'Données projet'!$B$218,FE51+FD52-FM51)))</f>
        <v>359.59999999999991</v>
      </c>
      <c r="FF52" s="17">
        <f>FE52*VLOOKUP('Données projet'!$B$16,Paramètres!$A$1:$I$89,3,0)*VLOOKUP('Données projet'!$B$16,Paramètres!$A$1:$I$89,5,0)</f>
        <v>224.39039999999994</v>
      </c>
      <c r="FG52" s="13">
        <f t="shared" si="47"/>
        <v>55.068017311015858</v>
      </c>
      <c r="FH52" s="20">
        <f t="shared" si="22"/>
        <v>486.72341015001916</v>
      </c>
      <c r="FI52" s="59">
        <f t="shared" si="23"/>
        <v>780.05674348335242</v>
      </c>
      <c r="FJ52" s="59">
        <f ca="1">AVERAGE(OFFSET($FI$3,0,0,'Données projet'!$E$16+1,1))-AVERAGE(OFFSET($H$3,0,0,'Données projet'!$E$16+1,1))</f>
        <v>255.41017495879987</v>
      </c>
      <c r="FK52" s="59">
        <f t="shared" si="48"/>
        <v>297.50513563712764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5.7273957758462757</v>
      </c>
      <c r="FR52" s="21">
        <f>EXP(-LN(2)/25)*FR51+(1-EXP(-LN(2)/25))/(LN(2)/25)*Calculateur!FM52*Calculateur!FO52*VLOOKUP('Données projet'!$B$16,Paramètres!$A$1:$I$89,3,0)*0.475*44/12</f>
        <v>16.4570546201779</v>
      </c>
      <c r="FS52" s="21">
        <f>EXP(-LN(2)/2)*FS51+(1-EXP(-LN(2)/2))/(LN(2)/2)*FM52*FP52*VLOOKUP('Données projet'!$B$16,Paramètres!$A$1:$I$89,3,0)*0.475*44/12</f>
        <v>3.369970258191303E-2</v>
      </c>
      <c r="FT52" s="22">
        <f t="shared" si="24"/>
        <v>22.218150098606088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18.8</v>
      </c>
      <c r="FZ52" s="12">
        <f>IF('Données projet'!$A$244&gt;35,FZ51+FY52-GH51,IF(A52&lt;'Données projet'!$A$244,$FW$205^A52,IF(A52='Données projet'!$A$244,'Données projet'!$B$244,FZ51+FY52-GH51)))</f>
        <v>382.20000000000016</v>
      </c>
      <c r="GA52" s="17">
        <f>FZ52*VLOOKUP('Données projet'!$B$17,Paramètres!$A$1:$I$89,3,0)*VLOOKUP('Données projet'!$B$17,Paramètres!$A$1:$I$89,5,0)</f>
        <v>228.55560000000008</v>
      </c>
      <c r="GB52" s="13">
        <f t="shared" si="49"/>
        <v>55.97025406423657</v>
      </c>
      <c r="GC52" s="20">
        <f t="shared" si="25"/>
        <v>495.54919582854546</v>
      </c>
      <c r="GD52" s="59">
        <f t="shared" si="26"/>
        <v>788.88252916187878</v>
      </c>
      <c r="GE52" s="59">
        <f ca="1">AVERAGE(OFFSET($GD$3,0,0,'Données projet'!$E$17+1,1))-AVERAGE(OFFSET($H$3,0,0,'Données projet'!$E$17+1,1))</f>
        <v>259.30247982593914</v>
      </c>
      <c r="GF52" s="59">
        <f t="shared" si="50"/>
        <v>275.24740346220779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10.648428027126274</v>
      </c>
      <c r="GN52" s="21">
        <f>EXP(-LN(2)/2)*GN51+(1-EXP(-LN(2)/2))/(LN(2)/2)*GH52*GK52*VLOOKUP('Données projet'!$B$17,Paramètres!$A$1:$I$89,3,0)*0.475*44/12</f>
        <v>3.9609677642998713E-2</v>
      </c>
      <c r="GO52" s="21">
        <f t="shared" si="27"/>
        <v>10.688037704769272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7.7</v>
      </c>
      <c r="GU52" s="12">
        <f>IF('Données projet'!$A$270&gt;35,GU51+GT52-HC51,IF(A52&lt;'Données projet'!$A$270,$GR$205^A52,IF(A52='Données projet'!$A$270,'Données projet'!$B$270,GU51+GT52-HC51)))</f>
        <v>233.29999999999976</v>
      </c>
      <c r="GV52" s="17">
        <f>GU52*VLOOKUP('Données projet'!$B$18,Paramètres!$A$1:$I$89,3,0)*VLOOKUP('Données projet'!$B$18,Paramètres!$A$1:$I$89,5,0)</f>
        <v>185.61347999999981</v>
      </c>
      <c r="GW52" s="13">
        <f t="shared" si="51"/>
        <v>46.568841147773846</v>
      </c>
      <c r="GX52" s="20">
        <f t="shared" si="28"/>
        <v>404.38420933237239</v>
      </c>
      <c r="GY52" s="59">
        <f t="shared" si="29"/>
        <v>697.71754266570565</v>
      </c>
      <c r="GZ52" s="59">
        <f ca="1">AVERAGE(OFFSET($GY$3,0,0,'Données projet'!$E$18+1,1))-AVERAGE(OFFSET($H$3,0,0,'Données projet'!$E$18+1,1))</f>
        <v>199.58763537752952</v>
      </c>
      <c r="HA52" s="59">
        <f t="shared" si="52"/>
        <v>242.62852778451929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0</v>
      </c>
      <c r="HH52" s="21">
        <f>EXP(-LN(2)/25)*HH51+(1-EXP(-LN(2)/25))/(LN(2)/25)*Calculateur!HC52*Calculateur!HE52*VLOOKUP('Données projet'!$B$18,Paramètres!$A$1:$I$89,3,0)*0.475*44/12</f>
        <v>6.0720598740139504</v>
      </c>
      <c r="HI52" s="21">
        <f>EXP(-LN(2)/2)*HI51+(1-EXP(-LN(2)/2))/(LN(2)/2)*HC52*HF52*VLOOKUP('Données projet'!$B$18,Paramètres!$A$1:$I$89,3,0)*0.475*44/12</f>
        <v>1.4862443195275438E-2</v>
      </c>
      <c r="HJ52" s="22">
        <f t="shared" si="30"/>
        <v>6.0869223172092255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199</v>
      </c>
      <c r="L53" s="12">
        <f>VLOOKUP(A53,'Données projet'!$A$35:$I$55,9,0)</f>
        <v>8.3000000000000007</v>
      </c>
      <c r="M53" s="12">
        <f t="array" ref="M53">INDEX(L:L,MIN(IF(ISNUMBER(L53:L249),ROW(L53:L249),"")))</f>
        <v>8.3000000000000007</v>
      </c>
      <c r="N53" s="13">
        <f>IF('Données projet'!$A$36&gt;35,N52+M53-V52,IF(A53&lt;'Données projet'!$A$36,$K$205^A53,IF(A53='Données projet'!$A$36,'Données projet'!$B$36,N52+M53-V52)))</f>
        <v>199.00000000000006</v>
      </c>
      <c r="O53" s="13">
        <f>N53*VLOOKUP('Données projet'!$B$9,Paramètres!$A$1:$I$89,3,0)*VLOOKUP('Données projet'!$B$9,Paramètres!$A$1:$I$89,5,0)</f>
        <v>180.05520000000004</v>
      </c>
      <c r="P53" s="13">
        <f t="shared" si="33"/>
        <v>45.334466930398399</v>
      </c>
      <c r="Q53" s="20">
        <f t="shared" si="53"/>
        <v>392.55366990377729</v>
      </c>
      <c r="R53" s="59">
        <f t="shared" si="0"/>
        <v>685.88700323711055</v>
      </c>
      <c r="S53" s="59">
        <f ca="1">AVERAGE(OFFSET($R$3,0,0,'Données projet'!$E$9+1,1))-AVERAGE(OFFSET($H$3,0,0,'Données projet'!$E$9+1,1))</f>
        <v>237.22177246688199</v>
      </c>
      <c r="T53" s="59">
        <f t="shared" si="34"/>
        <v>149.27472147904302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1.7838930347308279</v>
      </c>
      <c r="AB53" s="21">
        <f>EXP(-LN(2)/2)*AB52+(1-EXP(-LN(2)/2))/(LN(2)/2)*V53*Y53*VLOOKUP('Données projet'!$B$9,Paramètres!$A$1:$I$89,3,0)*0.475*44/12</f>
        <v>6.044285014090261E-3</v>
      </c>
      <c r="AC53" s="22">
        <f t="shared" si="3"/>
        <v>1.7899373197449182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199</v>
      </c>
      <c r="AG53" s="12">
        <f>VLOOKUP(A53,'Données projet'!$A$61:$I$81,9,0)</f>
        <v>8.3000000000000007</v>
      </c>
      <c r="AH53" s="12">
        <f t="array" ref="AH53">INDEX(AG:AG,MIN(IF(ISNUMBER(AG53:AG249),ROW(AG53:AG249),"")))</f>
        <v>8.3000000000000007</v>
      </c>
      <c r="AI53" s="13">
        <f>IF('Données projet'!$A$62&gt;35,AI52+AH53-AQ52,IF(A53&lt;'Données projet'!$A$62,$AF$205^A53,IF(A53='Données projet'!$A$62,'Données projet'!$B$62,AI52+AH53-AQ52)))</f>
        <v>199.00000000000006</v>
      </c>
      <c r="AJ53" s="13">
        <f>AI53*VLOOKUP('Données projet'!$B$10,Paramètres!$A$1:$I$89,3,0)*VLOOKUP('Données projet'!$B$10,Paramètres!$A$1:$I$89,5,0)</f>
        <v>201.78600000000009</v>
      </c>
      <c r="AK53" s="13">
        <f t="shared" si="35"/>
        <v>50.136473146268756</v>
      </c>
      <c r="AL53" s="20">
        <f t="shared" si="4"/>
        <v>438.76497406308482</v>
      </c>
      <c r="AM53" s="59">
        <f t="shared" si="5"/>
        <v>732.09830739641814</v>
      </c>
      <c r="AN53" s="59">
        <f ca="1">AVERAGE(OFFSET($AM$3,0,0,'Données projet'!$E$10+1,1))-AVERAGE(OFFSET($H$3,0,0,'Données projet'!$E$10+1,1))</f>
        <v>279.20364724206644</v>
      </c>
      <c r="AO53" s="59">
        <f t="shared" si="36"/>
        <v>173.99850582760712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1.9991904699569625</v>
      </c>
      <c r="AW53" s="21">
        <f>EXP(-LN(2)/2)*AW52+(1-EXP(-LN(2)/2))/(LN(2)/2)*AQ53*AT53*VLOOKUP('Données projet'!$B$10,Paramètres!$A$1:$I$89,3,0)*0.475*44/12</f>
        <v>6.7737676882046018E-3</v>
      </c>
      <c r="AX53" s="21">
        <f t="shared" si="6"/>
        <v>2.0059642376451672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323.2</v>
      </c>
      <c r="BB53" s="12">
        <f>VLOOKUP(A53,'Données projet'!$A$87:$I$107,9,0)</f>
        <v>11.499999999999996</v>
      </c>
      <c r="BC53" s="12">
        <f t="array" ref="BC53">INDEX(BB:BB,MIN(IF(ISNUMBER(BB53:BB249),ROW(BB53:BB249),"")))</f>
        <v>11.499999999999996</v>
      </c>
      <c r="BD53" s="12">
        <f>IF('Données projet'!$A$88&gt;35,BD52+BC53-BL52,IF(A53&lt;'Données projet'!$A$88,$BA$205^A53,IF(A53='Données projet'!$A$88,'Données projet'!$B$88,BD52+BC53-BL52)))</f>
        <v>323.19999999999987</v>
      </c>
      <c r="BE53" s="13">
        <f>BD53*VLOOKUP('Données projet'!$B$11,Paramètres!$A$1:$I$89,3,0)*VLOOKUP('Données projet'!$B$11,Paramètres!$A$1:$I$89,5,0)</f>
        <v>151.25759999999994</v>
      </c>
      <c r="BF53" s="13">
        <f t="shared" si="37"/>
        <v>38.864240713854024</v>
      </c>
      <c r="BG53" s="20">
        <f t="shared" si="7"/>
        <v>331.12887257662896</v>
      </c>
      <c r="BH53" s="59">
        <f t="shared" si="8"/>
        <v>624.46220590996222</v>
      </c>
      <c r="BI53" s="59">
        <f ca="1">AVERAGE(OFFSET($BH$3,0,0,'Données projet'!$E$11+1,1))-AVERAGE(OFFSET($H$3,0,0,'Données projet'!$E$11+1,1))</f>
        <v>215.23235148064941</v>
      </c>
      <c r="BJ53" s="59">
        <f t="shared" si="38"/>
        <v>184.07239726900434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83.4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2.1094169908561335</v>
      </c>
      <c r="BQ53" s="21">
        <f>EXP(-LN(2)/25)*BQ52+(1-EXP(-LN(2)/25))/(LN(2)/25)*Calculateur!BL53*Calculateur!BN53*VLOOKUP('Données projet'!$B$11,Paramètres!$A$1:$I$89,3,0)*0.475*44/12</f>
        <v>4.5117794905849333</v>
      </c>
      <c r="BR53" s="21">
        <f>EXP(-LN(2)/2)*BR52+(1-EXP(-LN(2)/2))/(LN(2)/2)*BL53*BO53*VLOOKUP('Données projet'!$B$11,Paramètres!$A$1:$I$89,3,0)*0.475*44/12</f>
        <v>9.6017348440390546E-3</v>
      </c>
      <c r="BS53" s="22">
        <f t="shared" si="9"/>
        <v>6.6307982162851058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199</v>
      </c>
      <c r="BW53" s="12">
        <f>VLOOKUP(A53,'Données projet'!$A$113:$I$133,9,0)</f>
        <v>8.3000000000000007</v>
      </c>
      <c r="BX53" s="12">
        <f t="array" ref="BX53">INDEX(BW:BW,MIN(IF(ISNUMBER(BW53:BW249),ROW(BW53:BW249),"")))</f>
        <v>8.3000000000000007</v>
      </c>
      <c r="BY53" s="12">
        <f>IF('Données projet'!$A$114&gt;35,BY52+BX53-CG52,IF(A53&lt;'Données projet'!$A$114,$BV$205^A53,IF(A53='Données projet'!$A$114,'Données projet'!$B$114,BY52+BX53-CG52)))</f>
        <v>199.00000000000006</v>
      </c>
      <c r="BZ53" s="13">
        <f>BY53*VLOOKUP('Données projet'!$B$12,Paramètres!$A$1:$I$89,3,0)*VLOOKUP('Données projet'!$B$12,Paramètres!$A$1:$I$89,5,0)</f>
        <v>214.20360000000005</v>
      </c>
      <c r="CA53" s="13">
        <f t="shared" si="39"/>
        <v>52.853115789602029</v>
      </c>
      <c r="CB53" s="20">
        <f t="shared" si="10"/>
        <v>465.12378000022363</v>
      </c>
      <c r="CC53" s="59">
        <f t="shared" si="11"/>
        <v>758.45711333355689</v>
      </c>
      <c r="CD53" s="59">
        <f ca="1">AVERAGE(OFFSET($CC$3,0,0,'Données projet'!$E$12+1,1))-AVERAGE(OFFSET($H$3,0,0,'Données projet'!$E$12+1,1))</f>
        <v>303.1504619632214</v>
      </c>
      <c r="CE53" s="59">
        <f t="shared" si="40"/>
        <v>188.09929616366503</v>
      </c>
      <c r="CF53" s="15">
        <f>IF(ISNA(VLOOKUP(A53,'Données projet'!$A$113:$I$133,3,0)),0,VLOOKUP(A53,'Données projet'!$A$113:$I$133,3,0))</f>
        <v>3</v>
      </c>
      <c r="CG53" s="15">
        <f>IF(ISNA(VLOOKUP(A53,'Données projet'!$A$113:$I$133,4,0)),0,VLOOKUP(A53,'Données projet'!$A$113:$I$133,4,0))</f>
        <v>42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2.1222175758004678</v>
      </c>
      <c r="CM53" s="21">
        <f>EXP(-LN(2)/2)*CM52+(1-EXP(-LN(2)/2))/(LN(2)/2)*CG53*CJ53*VLOOKUP('Données projet'!$B$12,Paramètres!$A$1:$I$89,3,0)*0.475*44/12</f>
        <v>7.1906149305556661E-3</v>
      </c>
      <c r="CN53" s="22">
        <f t="shared" si="12"/>
        <v>2.1294081907310236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241</v>
      </c>
      <c r="CR53" s="12">
        <f>VLOOKUP(A53,'Données projet'!$A$139:$I$159,9,0)</f>
        <v>7.7</v>
      </c>
      <c r="CS53" s="12">
        <f t="array" ref="CS53">INDEX(CR:CR,MIN(IF(ISNUMBER(CR53:CR249),ROW(CR53:CR249),"")))</f>
        <v>7.7</v>
      </c>
      <c r="CT53" s="12">
        <f>IF('Données projet'!$A$140&gt;35,CT52+CS53-DB52,IF(A53&lt;'Données projet'!$A$140,$CQ$205^A53,IF(A53='Données projet'!$A$140,'Données projet'!$B$140,CT52+CS53-DB52)))</f>
        <v>240.99999999999974</v>
      </c>
      <c r="CU53" s="17">
        <f>CT53*VLOOKUP('Données projet'!$B$13,Paramètres!$A$1:$I$89,3,0)*VLOOKUP('Données projet'!$B$13,Paramètres!$A$1:$I$89,5,0)</f>
        <v>161.66279999999983</v>
      </c>
      <c r="CV53" s="13">
        <f t="shared" si="41"/>
        <v>41.217338614576043</v>
      </c>
      <c r="CW53" s="20">
        <f t="shared" si="13"/>
        <v>353.34957475371965</v>
      </c>
      <c r="CX53" s="59">
        <f t="shared" si="14"/>
        <v>646.68290808705297</v>
      </c>
      <c r="CY53" s="59">
        <f ca="1">AVERAGE(OFFSET($CX$3,0,0,'Données projet'!$E$13+1,1))-AVERAGE(OFFSET($H$3,0,0,'Données projet'!$E$13+1,1))</f>
        <v>156.63226020379989</v>
      </c>
      <c r="CZ53" s="59">
        <f t="shared" si="42"/>
        <v>196.0481096619543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39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4.9795847123541463</v>
      </c>
      <c r="DH53" s="21">
        <f>EXP(-LN(2)/2)*DH52+(1-EXP(-LN(2)/2))/(LN(2)/2)*DB53*DE53*VLOOKUP('Données projet'!$B$13,Paramètres!$A$1:$I$89,3,0)*0.475*44/12</f>
        <v>8.8608113302019956E-3</v>
      </c>
      <c r="DI53" s="22">
        <f t="shared" si="15"/>
        <v>4.9884455236843479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-8.5265128291212022E-14</v>
      </c>
      <c r="DP53" s="17">
        <f>DO53*VLOOKUP('Données projet'!$B$14,Paramètres!$A$1:$I$89,3,0)*VLOOKUP('Données projet'!$B$14,Paramètres!$A$1:$I$89,5,0)</f>
        <v>-7.7147888077888636E-14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225.28075317732998</v>
      </c>
      <c r="DU53" s="59">
        <f t="shared" si="44"/>
        <v>358.43407531256207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1.5097797491766087</v>
      </c>
      <c r="EB53" s="21">
        <f>EXP(-LN(2)/25)*EB52+(1-EXP(-LN(2)/25))/(LN(2)/25)*Calculateur!DW53*Calculateur!DY53*VLOOKUP('Données projet'!$B$14,Paramètres!$A$1:$I$89,3,0)*0.475*44/12</f>
        <v>4.7510489504142814</v>
      </c>
      <c r="EC53" s="21">
        <f>EXP(-LN(2)/2)*EC52+(1-EXP(-LN(2)/2))/(LN(2)/2)*DW53*DZ53*VLOOKUP('Données projet'!$B$14,Paramètres!$A$1:$I$89,3,0)*0.475*44/12</f>
        <v>4.3105674950874254E-3</v>
      </c>
      <c r="ED53" s="22">
        <f t="shared" si="18"/>
        <v>6.2651392670859778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509</v>
      </c>
      <c r="EH53" s="12">
        <f>VLOOKUP(A53,'Données projet'!$A$191:$I$211,9,0)</f>
        <v>19.2</v>
      </c>
      <c r="EI53" s="12">
        <f t="array" ref="EI53">INDEX(EH:EH,MIN(IF(ISNUMBER(EH53:EH249),ROW(EH53:EH249),"")))</f>
        <v>19.2</v>
      </c>
      <c r="EJ53" s="12">
        <f>IF('Données projet'!$A$192&gt;35,EJ52+EI53-ER52,IF(A53&lt;'Données projet'!$A$192,$EG$205^A53,IF(A53='Données projet'!$A$192,'Données projet'!$B$192,EJ52+EI53-ER52)))</f>
        <v>508.99999999999977</v>
      </c>
      <c r="EK53" s="17">
        <f>EJ53*VLOOKUP('Données projet'!$B$15,Paramètres!$A$1:$I$89,3,0)*VLOOKUP('Données projet'!$B$15,Paramètres!$A$1:$I$89,5,0)</f>
        <v>284.53099999999989</v>
      </c>
      <c r="EL53" s="13">
        <f t="shared" si="45"/>
        <v>67.92364301353318</v>
      </c>
      <c r="EM53" s="20">
        <f t="shared" si="19"/>
        <v>613.85850324857017</v>
      </c>
      <c r="EN53" s="59">
        <f t="shared" si="20"/>
        <v>907.19183658190354</v>
      </c>
      <c r="EO53" s="59">
        <f ca="1">AVERAGE(OFFSET($EN$3,0,0,'Données projet'!$E$15+1,1))-AVERAGE(OFFSET($H$3,0,0,'Données projet'!$E$15+1,1))</f>
        <v>326.31232746914907</v>
      </c>
      <c r="EP53" s="59">
        <f t="shared" si="46"/>
        <v>330.17137761430297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108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3.0739991006908571</v>
      </c>
      <c r="EW53" s="21">
        <f>EXP(-LN(2)/25)*EW52+(1-EXP(-LN(2)/25))/(LN(2)/25)*Calculateur!ER53*Calculateur!ET53*VLOOKUP('Données projet'!$B$15,Paramètres!$A$1:$I$89,3,0)*0.475*44/12</f>
        <v>17.329808020738803</v>
      </c>
      <c r="EX53" s="21">
        <f>EXP(-LN(2)/2)*EX52+(1-EXP(-LN(2)/2))/(LN(2)/2)*ER53*EU53*VLOOKUP('Données projet'!$B$15,Paramètres!$A$1:$I$89,3,0)*0.475*44/12</f>
        <v>3.1759851924253166E-2</v>
      </c>
      <c r="EY53" s="22">
        <f t="shared" si="21"/>
        <v>20.435566973353911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372</v>
      </c>
      <c r="FC53" s="12">
        <f>VLOOKUP(A53,'Données projet'!$A$217:$I$237,9,0)</f>
        <v>12.4</v>
      </c>
      <c r="FD53" s="12">
        <f t="array" ref="FD53">INDEX(FC:FC,MIN(IF(ISNUMBER(FC53:FC249),ROW(FC53:FC249),"")))</f>
        <v>12.4</v>
      </c>
      <c r="FE53" s="12">
        <f>IF('Données projet'!$A$218&gt;35,FE52+FD53-FM52,IF(A53&lt;'Données projet'!$A$218,$FB$205^A53,IF(A53='Données projet'!$A$218,'Données projet'!$B$218,FE52+FD53-FM52)))</f>
        <v>371.99999999999989</v>
      </c>
      <c r="FF53" s="17">
        <f>FE53*VLOOKUP('Données projet'!$B$16,Paramètres!$A$1:$I$89,3,0)*VLOOKUP('Données projet'!$B$16,Paramètres!$A$1:$I$89,5,0)</f>
        <v>232.12799999999993</v>
      </c>
      <c r="FG53" s="13">
        <f t="shared" si="47"/>
        <v>56.742557967082398</v>
      </c>
      <c r="FH53" s="20">
        <f t="shared" si="22"/>
        <v>503.11622179266834</v>
      </c>
      <c r="FI53" s="59">
        <f t="shared" si="23"/>
        <v>796.44955512600166</v>
      </c>
      <c r="FJ53" s="59">
        <f ca="1">AVERAGE(OFFSET($FI$3,0,0,'Données projet'!$E$16+1,1))-AVERAGE(OFFSET($H$3,0,0,'Données projet'!$E$16+1,1))</f>
        <v>255.41017495879987</v>
      </c>
      <c r="FK53" s="59">
        <f t="shared" si="48"/>
        <v>297.50513563712764</v>
      </c>
      <c r="FL53" s="15">
        <f>IF(ISNA(VLOOKUP(A53,'Données projet'!$A$217:$I$237,3,0)),0,VLOOKUP(A53,'Données projet'!$A$217:$I$237,3,0))</f>
        <v>4</v>
      </c>
      <c r="FM53" s="15">
        <f>IF(ISNA(VLOOKUP(A53,'Données projet'!$A$217:$I$237,4,0)),0,VLOOKUP(A53,'Données projet'!$A$217:$I$237,4,0))</f>
        <v>68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5.6150850380484121</v>
      </c>
      <c r="FR53" s="21">
        <f>EXP(-LN(2)/25)*FR52+(1-EXP(-LN(2)/25))/(LN(2)/25)*Calculateur!FM53*Calculateur!FO53*VLOOKUP('Données projet'!$B$16,Paramètres!$A$1:$I$89,3,0)*0.475*44/12</f>
        <v>16.007035596150246</v>
      </c>
      <c r="FS53" s="21">
        <f>EXP(-LN(2)/2)*FS52+(1-EXP(-LN(2)/2))/(LN(2)/2)*FM53*FP53*VLOOKUP('Données projet'!$B$16,Paramètres!$A$1:$I$89,3,0)*0.475*44/12</f>
        <v>2.3829288219640508E-2</v>
      </c>
      <c r="FT53" s="22">
        <f t="shared" si="24"/>
        <v>21.6459499224183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401</v>
      </c>
      <c r="FX53" s="12">
        <f>VLOOKUP(A53,'Données projet'!$A$243:$I$263,9,0)</f>
        <v>18.8</v>
      </c>
      <c r="FY53" s="12">
        <f t="array" ref="FY53">INDEX(FX:FX,MIN(IF(ISNUMBER(FX53:FX249),ROW(FX53:FX249),"")))</f>
        <v>18.8</v>
      </c>
      <c r="FZ53" s="12">
        <f>IF('Données projet'!$A$244&gt;35,FZ52+FY53-GH52,IF(A53&lt;'Données projet'!$A$244,$FW$205^A53,IF(A53='Données projet'!$A$244,'Données projet'!$B$244,FZ52+FY53-GH52)))</f>
        <v>401.00000000000017</v>
      </c>
      <c r="GA53" s="17">
        <f>FZ53*VLOOKUP('Données projet'!$B$17,Paramètres!$A$1:$I$89,3,0)*VLOOKUP('Données projet'!$B$17,Paramètres!$A$1:$I$89,5,0)</f>
        <v>239.79800000000012</v>
      </c>
      <c r="GB53" s="13">
        <f t="shared" si="49"/>
        <v>58.396067068575292</v>
      </c>
      <c r="GC53" s="20">
        <f t="shared" si="25"/>
        <v>519.35466681110222</v>
      </c>
      <c r="GD53" s="59">
        <f t="shared" si="26"/>
        <v>812.68800014443559</v>
      </c>
      <c r="GE53" s="59">
        <f ca="1">AVERAGE(OFFSET($GD$3,0,0,'Données projet'!$E$17+1,1))-AVERAGE(OFFSET($H$3,0,0,'Données projet'!$E$17+1,1))</f>
        <v>259.30247982593914</v>
      </c>
      <c r="GF53" s="59">
        <f t="shared" si="50"/>
        <v>275.24740346220779</v>
      </c>
      <c r="GG53" s="15">
        <f>IF(ISNA(VLOOKUP(A53,'Données projet'!$A$243:$I$263,3,0)),0,VLOOKUP(A53,'Données projet'!$A$243:$I$263,3,0))</f>
        <v>4</v>
      </c>
      <c r="GH53" s="15">
        <f>IF(ISNA(VLOOKUP(A53,'Données projet'!$A$243:$I$263,4,0)),0,VLOOKUP(A53,'Données projet'!$A$243:$I$263,4,0))</f>
        <v>82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10.357246202748014</v>
      </c>
      <c r="GN53" s="21">
        <f>EXP(-LN(2)/2)*GN52+(1-EXP(-LN(2)/2))/(LN(2)/2)*GH53*GK53*VLOOKUP('Données projet'!$B$17,Paramètres!$A$1:$I$89,3,0)*0.475*44/12</f>
        <v>2.8008271661977575E-2</v>
      </c>
      <c r="GO53" s="21">
        <f t="shared" si="27"/>
        <v>10.385254474409992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241</v>
      </c>
      <c r="GS53" s="12">
        <f>VLOOKUP(A53,'Données projet'!$A$269:$I$289,9,0)</f>
        <v>7.7</v>
      </c>
      <c r="GT53" s="12">
        <f t="array" ref="GT53">INDEX(GS:GS,MIN(IF(ISNUMBER(GS53:GS249),ROW(GS53:GS249),"")))</f>
        <v>7.7</v>
      </c>
      <c r="GU53" s="12">
        <f>IF('Données projet'!$A$270&gt;35,GU52+GT53-HC52,IF(A53&lt;'Données projet'!$A$270,$GR$205^A53,IF(A53='Données projet'!$A$270,'Données projet'!$B$270,GU52+GT53-HC52)))</f>
        <v>240.99999999999974</v>
      </c>
      <c r="GV53" s="17">
        <f>GU53*VLOOKUP('Données projet'!$B$18,Paramètres!$A$1:$I$89,3,0)*VLOOKUP('Données projet'!$B$18,Paramètres!$A$1:$I$89,5,0)</f>
        <v>191.7395999999998</v>
      </c>
      <c r="GW53" s="13">
        <f t="shared" si="51"/>
        <v>47.924349465834901</v>
      </c>
      <c r="GX53" s="20">
        <f t="shared" si="28"/>
        <v>417.41471198632871</v>
      </c>
      <c r="GY53" s="59">
        <f t="shared" si="29"/>
        <v>710.74804531966197</v>
      </c>
      <c r="GZ53" s="59">
        <f ca="1">AVERAGE(OFFSET($GY$3,0,0,'Données projet'!$E$18+1,1))-AVERAGE(OFFSET($H$3,0,0,'Données projet'!$E$18+1,1))</f>
        <v>199.58763537752952</v>
      </c>
      <c r="HA53" s="59">
        <f t="shared" si="52"/>
        <v>242.62852778451929</v>
      </c>
      <c r="HB53" s="15">
        <f>IF(ISNA(VLOOKUP(A53,'Données projet'!$A$269:$I$289,3,0)),0,VLOOKUP(A53,'Données projet'!$A$269:$I$289,3,0))</f>
        <v>4</v>
      </c>
      <c r="HC53" s="15">
        <f>IF(ISNA(VLOOKUP(A53,'Données projet'!$A$269:$I$289,4,0)),0,VLOOKUP(A53,'Données projet'!$A$269:$I$289,4,0))</f>
        <v>39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0</v>
      </c>
      <c r="HH53" s="21">
        <f>EXP(-LN(2)/25)*HH52+(1-EXP(-LN(2)/25))/(LN(2)/25)*Calculateur!HC53*Calculateur!HE53*VLOOKUP('Données projet'!$B$18,Paramètres!$A$1:$I$89,3,0)*0.475*44/12</f>
        <v>5.9060190774432879</v>
      </c>
      <c r="HI53" s="21">
        <f>EXP(-LN(2)/2)*HI52+(1-EXP(-LN(2)/2))/(LN(2)/2)*HC53*HF53*VLOOKUP('Données projet'!$B$18,Paramètres!$A$1:$I$89,3,0)*0.475*44/12</f>
        <v>1.0509334368379121E-2</v>
      </c>
      <c r="HJ53" s="22">
        <f t="shared" si="30"/>
        <v>5.916528411811667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164.80000000000007</v>
      </c>
      <c r="O54" s="13">
        <f>N54*VLOOKUP('Données projet'!$B$9,Paramètres!$A$1:$I$89,3,0)*VLOOKUP('Données projet'!$B$9,Paramètres!$A$1:$I$89,5,0)</f>
        <v>149.11104000000006</v>
      </c>
      <c r="P54" s="13">
        <f t="shared" si="33"/>
        <v>38.376496436982386</v>
      </c>
      <c r="Q54" s="20">
        <f t="shared" si="53"/>
        <v>326.54079262774445</v>
      </c>
      <c r="R54" s="59">
        <f t="shared" si="0"/>
        <v>619.87412596107777</v>
      </c>
      <c r="S54" s="59">
        <f ca="1">AVERAGE(OFFSET($R$3,0,0,'Données projet'!$E$9+1,1))-AVERAGE(OFFSET($H$3,0,0,'Données projet'!$E$9+1,1))</f>
        <v>237.22177246688199</v>
      </c>
      <c r="T54" s="59">
        <f t="shared" si="34"/>
        <v>149.27472147904302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1.735112385885256</v>
      </c>
      <c r="AB54" s="21">
        <f>EXP(-LN(2)/2)*AB53+(1-EXP(-LN(2)/2))/(LN(2)/2)*V54*Y54*VLOOKUP('Données projet'!$B$9,Paramètres!$A$1:$I$89,3,0)*0.475*44/12</f>
        <v>4.2739549208874504E-3</v>
      </c>
      <c r="AC54" s="22">
        <f t="shared" si="3"/>
        <v>1.7393863408061434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</v>
      </c>
      <c r="AI54" s="13">
        <f>IF('Données projet'!$A$62&gt;35,AI53+AH54-AQ53,IF(A54&lt;'Données projet'!$A$62,$AF$205^A54,IF(A54='Données projet'!$A$62,'Données projet'!$B$62,AI53+AH54-AQ53)))</f>
        <v>164.80000000000007</v>
      </c>
      <c r="AJ54" s="13">
        <f>AI54*VLOOKUP('Données projet'!$B$10,Paramètres!$A$1:$I$89,3,0)*VLOOKUP('Données projet'!$B$10,Paramètres!$A$1:$I$89,5,0)</f>
        <v>167.10720000000009</v>
      </c>
      <c r="AK54" s="13">
        <f t="shared" si="35"/>
        <v>42.441486871669696</v>
      </c>
      <c r="AL54" s="20">
        <f t="shared" si="4"/>
        <v>364.96396296815823</v>
      </c>
      <c r="AM54" s="59">
        <f t="shared" si="5"/>
        <v>658.29729630149154</v>
      </c>
      <c r="AN54" s="59">
        <f ca="1">AVERAGE(OFFSET($AM$3,0,0,'Données projet'!$E$10+1,1))-AVERAGE(OFFSET($H$3,0,0,'Données projet'!$E$10+1,1))</f>
        <v>279.20364724206644</v>
      </c>
      <c r="AO54" s="59">
        <f t="shared" si="36"/>
        <v>173.99850582760712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1.9445225014231318</v>
      </c>
      <c r="AW54" s="21">
        <f>EXP(-LN(2)/2)*AW53+(1-EXP(-LN(2)/2))/(LN(2)/2)*AQ54*AT54*VLOOKUP('Données projet'!$B$10,Paramètres!$A$1:$I$89,3,0)*0.475*44/12</f>
        <v>4.7897770665117972E-3</v>
      </c>
      <c r="AX54" s="21">
        <f t="shared" si="6"/>
        <v>1.9493122784896435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13.499999999999996</v>
      </c>
      <c r="BD54" s="12">
        <f>IF('Données projet'!$A$88&gt;35,BD53+BC54-BL53,IF(A54&lt;'Données projet'!$A$88,$BA$205^A54,IF(A54='Données projet'!$A$88,'Données projet'!$B$88,BD53+BC54-BL53)))</f>
        <v>253.29999999999987</v>
      </c>
      <c r="BE54" s="13">
        <f>BD54*VLOOKUP('Données projet'!$B$11,Paramètres!$A$1:$I$89,3,0)*VLOOKUP('Données projet'!$B$11,Paramètres!$A$1:$I$89,5,0)</f>
        <v>118.54439999999994</v>
      </c>
      <c r="BF54" s="13">
        <f t="shared" si="37"/>
        <v>31.3352637371359</v>
      </c>
      <c r="BG54" s="20">
        <f t="shared" si="7"/>
        <v>261.04041434217822</v>
      </c>
      <c r="BH54" s="59">
        <f t="shared" si="8"/>
        <v>554.37374767551159</v>
      </c>
      <c r="BI54" s="59">
        <f ca="1">AVERAGE(OFFSET($BH$3,0,0,'Données projet'!$E$11+1,1))-AVERAGE(OFFSET($H$3,0,0,'Données projet'!$E$11+1,1))</f>
        <v>215.23235148064941</v>
      </c>
      <c r="BJ54" s="59">
        <f t="shared" si="38"/>
        <v>184.07239726900434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2.0680526102827663</v>
      </c>
      <c r="BQ54" s="21">
        <f>EXP(-LN(2)/25)*BQ53+(1-EXP(-LN(2)/25))/(LN(2)/25)*Calculateur!BL54*Calculateur!BN54*VLOOKUP('Données projet'!$B$11,Paramètres!$A$1:$I$89,3,0)*0.475*44/12</f>
        <v>4.3884046431507171</v>
      </c>
      <c r="BR54" s="21">
        <f>EXP(-LN(2)/2)*BR53+(1-EXP(-LN(2)/2))/(LN(2)/2)*BL54*BO54*VLOOKUP('Données projet'!$B$11,Paramètres!$A$1:$I$89,3,0)*0.475*44/12</f>
        <v>6.7894518193751729E-3</v>
      </c>
      <c r="BS54" s="22">
        <f t="shared" si="9"/>
        <v>6.4632467052528586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7.8</v>
      </c>
      <c r="BY54" s="12">
        <f>IF('Données projet'!$A$114&gt;35,BY53+BX54-CG53,IF(A54&lt;'Données projet'!$A$114,$BV$205^A54,IF(A54='Données projet'!$A$114,'Données projet'!$B$114,BY53+BX54-CG53)))</f>
        <v>164.80000000000007</v>
      </c>
      <c r="BZ54" s="13">
        <f>BY54*VLOOKUP('Données projet'!$B$12,Paramètres!$A$1:$I$89,3,0)*VLOOKUP('Données projet'!$B$12,Paramètres!$A$1:$I$89,5,0)</f>
        <v>177.39072000000004</v>
      </c>
      <c r="CA54" s="13">
        <f t="shared" si="39"/>
        <v>44.741177014326411</v>
      </c>
      <c r="CB54" s="20">
        <f t="shared" si="10"/>
        <v>386.87972063328522</v>
      </c>
      <c r="CC54" s="59">
        <f t="shared" si="11"/>
        <v>680.21305396661853</v>
      </c>
      <c r="CD54" s="59">
        <f ca="1">AVERAGE(OFFSET($CC$3,0,0,'Données projet'!$E$12+1,1))-AVERAGE(OFFSET($H$3,0,0,'Données projet'!$E$12+1,1))</f>
        <v>303.1504619632214</v>
      </c>
      <c r="CE54" s="59">
        <f t="shared" si="40"/>
        <v>188.09929616366503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2.0641854245876319</v>
      </c>
      <c r="CM54" s="21">
        <f>EXP(-LN(2)/2)*CM53+(1-EXP(-LN(2)/2))/(LN(2)/2)*CG54*CJ54*VLOOKUP('Données projet'!$B$12,Paramètres!$A$1:$I$89,3,0)*0.475*44/12</f>
        <v>5.0845325782971473E-3</v>
      </c>
      <c r="CN54" s="22">
        <f t="shared" si="12"/>
        <v>2.069269957165929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5.6</v>
      </c>
      <c r="CT54" s="12">
        <f>IF('Données projet'!$A$140&gt;35,CT53+CS54-DB53,IF(A54&lt;'Données projet'!$A$140,$CQ$205^A54,IF(A54='Données projet'!$A$140,'Données projet'!$B$140,CT53+CS54-DB53)))</f>
        <v>207.59999999999974</v>
      </c>
      <c r="CU54" s="17">
        <f>CT54*VLOOKUP('Données projet'!$B$13,Paramètres!$A$1:$I$89,3,0)*VLOOKUP('Données projet'!$B$13,Paramètres!$A$1:$I$89,5,0)</f>
        <v>139.25807999999984</v>
      </c>
      <c r="CV54" s="13">
        <f t="shared" si="41"/>
        <v>36.126989516446081</v>
      </c>
      <c r="CW54" s="20">
        <f t="shared" si="13"/>
        <v>305.46232940780999</v>
      </c>
      <c r="CX54" s="59">
        <f t="shared" si="14"/>
        <v>598.79566274114336</v>
      </c>
      <c r="CY54" s="59">
        <f ca="1">AVERAGE(OFFSET($CX$3,0,0,'Données projet'!$E$13+1,1))-AVERAGE(OFFSET($H$3,0,0,'Données projet'!$E$13+1,1))</f>
        <v>156.63226020379989</v>
      </c>
      <c r="CZ54" s="59">
        <f t="shared" si="42"/>
        <v>196.0481096619543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4.8434177065298432</v>
      </c>
      <c r="DH54" s="21">
        <f>EXP(-LN(2)/2)*DH53+(1-EXP(-LN(2)/2))/(LN(2)/2)*DB54*DE54*VLOOKUP('Données projet'!$B$13,Paramètres!$A$1:$I$89,3,0)*0.475*44/12</f>
        <v>6.2655397784004236E-3</v>
      </c>
      <c r="DI54" s="22">
        <f t="shared" si="15"/>
        <v>4.8496832463082438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-8.5265128291212022E-14</v>
      </c>
      <c r="DP54" s="17">
        <f>DO54*VLOOKUP('Données projet'!$B$14,Paramètres!$A$1:$I$89,3,0)*VLOOKUP('Données projet'!$B$14,Paramètres!$A$1:$I$89,5,0)</f>
        <v>-7.7147888077888636E-14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225.28075317732998</v>
      </c>
      <c r="DU54" s="59">
        <f t="shared" si="44"/>
        <v>358.43407531256207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1.4801738891699736</v>
      </c>
      <c r="EB54" s="21">
        <f>EXP(-LN(2)/25)*EB53+(1-EXP(-LN(2)/25))/(LN(2)/25)*Calculateur!DW54*Calculateur!DY54*VLOOKUP('Données projet'!$B$14,Paramètres!$A$1:$I$89,3,0)*0.475*44/12</f>
        <v>4.6211312670183977</v>
      </c>
      <c r="EC54" s="21">
        <f>EXP(-LN(2)/2)*EC53+(1-EXP(-LN(2)/2))/(LN(2)/2)*DW54*DZ54*VLOOKUP('Données projet'!$B$14,Paramètres!$A$1:$I$89,3,0)*0.475*44/12</f>
        <v>3.0480315065386284E-3</v>
      </c>
      <c r="ED54" s="22">
        <f t="shared" si="18"/>
        <v>6.10435318769491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16.2</v>
      </c>
      <c r="EJ54" s="12">
        <f>IF('Données projet'!$A$192&gt;35,EJ53+EI54-ER53,IF(A54&lt;'Données projet'!$A$192,$EG$205^A54,IF(A54='Données projet'!$A$192,'Données projet'!$B$192,EJ53+EI54-ER53)))</f>
        <v>417.19999999999982</v>
      </c>
      <c r="EK54" s="17">
        <f>EJ54*VLOOKUP('Données projet'!$B$15,Paramètres!$A$1:$I$89,3,0)*VLOOKUP('Données projet'!$B$15,Paramètres!$A$1:$I$89,5,0)</f>
        <v>233.21479999999991</v>
      </c>
      <c r="EL54" s="13">
        <f t="shared" si="45"/>
        <v>56.977233907865298</v>
      </c>
      <c r="EM54" s="20">
        <f t="shared" si="19"/>
        <v>505.41779238953194</v>
      </c>
      <c r="EN54" s="59">
        <f t="shared" si="20"/>
        <v>798.75112572286525</v>
      </c>
      <c r="EO54" s="59">
        <f ca="1">AVERAGE(OFFSET($EN$3,0,0,'Données projet'!$E$15+1,1))-AVERAGE(OFFSET($H$3,0,0,'Données projet'!$E$15+1,1))</f>
        <v>326.31232746914907</v>
      </c>
      <c r="EP54" s="59">
        <f t="shared" si="46"/>
        <v>330.17137761430297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3.0137198532806244</v>
      </c>
      <c r="EW54" s="21">
        <f>EXP(-LN(2)/25)*EW53+(1-EXP(-LN(2)/25))/(LN(2)/25)*Calculateur!ER54*Calculateur!ET54*VLOOKUP('Données projet'!$B$15,Paramètres!$A$1:$I$89,3,0)*0.475*44/12</f>
        <v>16.855923509076703</v>
      </c>
      <c r="EX54" s="21">
        <f>EXP(-LN(2)/2)*EX53+(1-EXP(-LN(2)/2))/(LN(2)/2)*ER54*EU54*VLOOKUP('Données projet'!$B$15,Paramètres!$A$1:$I$89,3,0)*0.475*44/12</f>
        <v>2.2457606665120033E-2</v>
      </c>
      <c r="EY54" s="22">
        <f t="shared" si="21"/>
        <v>19.892100969022447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10</v>
      </c>
      <c r="FE54" s="12">
        <f>IF('Données projet'!$A$218&gt;35,FE53+FD54-FM53,IF(A54&lt;'Données projet'!$A$218,$FB$205^A54,IF(A54='Données projet'!$A$218,'Données projet'!$B$218,FE53+FD54-FM53)))</f>
        <v>313.99999999999989</v>
      </c>
      <c r="FF54" s="17">
        <f>FE54*VLOOKUP('Données projet'!$B$16,Paramètres!$A$1:$I$89,3,0)*VLOOKUP('Données projet'!$B$16,Paramètres!$A$1:$I$89,5,0)</f>
        <v>195.93599999999992</v>
      </c>
      <c r="FG54" s="13">
        <f t="shared" si="47"/>
        <v>48.849959202565856</v>
      </c>
      <c r="FH54" s="20">
        <f t="shared" si="22"/>
        <v>426.33554561113533</v>
      </c>
      <c r="FI54" s="59">
        <f t="shared" si="23"/>
        <v>719.66887894446859</v>
      </c>
      <c r="FJ54" s="59">
        <f ca="1">AVERAGE(OFFSET($FI$3,0,0,'Données projet'!$E$16+1,1))-AVERAGE(OFFSET($H$3,0,0,'Données projet'!$E$16+1,1))</f>
        <v>255.41017495879987</v>
      </c>
      <c r="FK54" s="59">
        <f t="shared" si="48"/>
        <v>297.50513563712764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5.5049766453159785</v>
      </c>
      <c r="FR54" s="21">
        <f>EXP(-LN(2)/25)*FR53+(1-EXP(-LN(2)/25))/(LN(2)/25)*Calculateur!FM54*Calculateur!FO54*VLOOKUP('Données projet'!$B$16,Paramètres!$A$1:$I$89,3,0)*0.475*44/12</f>
        <v>15.569322366000099</v>
      </c>
      <c r="FS54" s="21">
        <f>EXP(-LN(2)/2)*FS53+(1-EXP(-LN(2)/2))/(LN(2)/2)*FM54*FP54*VLOOKUP('Données projet'!$B$16,Paramètres!$A$1:$I$89,3,0)*0.475*44/12</f>
        <v>1.6849851290956515E-2</v>
      </c>
      <c r="FT54" s="22">
        <f t="shared" si="24"/>
        <v>21.091148862607035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12.8</v>
      </c>
      <c r="FZ54" s="12">
        <f>IF('Données projet'!$A$244&gt;35,FZ53+FY54-GH53,IF(A54&lt;'Données projet'!$A$244,$FW$205^A54,IF(A54='Données projet'!$A$244,'Données projet'!$B$244,FZ53+FY54-GH53)))</f>
        <v>331.80000000000018</v>
      </c>
      <c r="GA54" s="17">
        <f>FZ54*VLOOKUP('Données projet'!$B$17,Paramètres!$A$1:$I$89,3,0)*VLOOKUP('Données projet'!$B$17,Paramètres!$A$1:$I$89,5,0)</f>
        <v>198.41640000000012</v>
      </c>
      <c r="GB54" s="13">
        <f t="shared" si="49"/>
        <v>49.395979521019925</v>
      </c>
      <c r="GC54" s="20">
        <f t="shared" si="25"/>
        <v>431.60656099910989</v>
      </c>
      <c r="GD54" s="59">
        <f t="shared" si="26"/>
        <v>724.93989433244315</v>
      </c>
      <c r="GE54" s="59">
        <f ca="1">AVERAGE(OFFSET($GD$3,0,0,'Données projet'!$E$17+1,1))-AVERAGE(OFFSET($H$3,0,0,'Données projet'!$E$17+1,1))</f>
        <v>259.30247982593914</v>
      </c>
      <c r="GF54" s="59">
        <f t="shared" si="50"/>
        <v>275.24740346220779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10.074026760669964</v>
      </c>
      <c r="GN54" s="21">
        <f>EXP(-LN(2)/2)*GN53+(1-EXP(-LN(2)/2))/(LN(2)/2)*GH54*GK54*VLOOKUP('Données projet'!$B$17,Paramètres!$A$1:$I$89,3,0)*0.475*44/12</f>
        <v>1.9804838821499356E-2</v>
      </c>
      <c r="GO54" s="21">
        <f t="shared" si="27"/>
        <v>10.093831599491464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5.6</v>
      </c>
      <c r="GU54" s="12">
        <f>IF('Données projet'!$A$270&gt;35,GU53+GT54-HC53,IF(A54&lt;'Données projet'!$A$270,$GR$205^A54,IF(A54='Données projet'!$A$270,'Données projet'!$B$270,GU53+GT54-HC53)))</f>
        <v>207.59999999999974</v>
      </c>
      <c r="GV54" s="17">
        <f>GU54*VLOOKUP('Données projet'!$B$18,Paramètres!$A$1:$I$89,3,0)*VLOOKUP('Données projet'!$B$18,Paramètres!$A$1:$I$89,5,0)</f>
        <v>165.16655999999981</v>
      </c>
      <c r="GW54" s="13">
        <f t="shared" si="51"/>
        <v>42.005683261714502</v>
      </c>
      <c r="GX54" s="20">
        <f t="shared" si="28"/>
        <v>360.82499034748571</v>
      </c>
      <c r="GY54" s="59">
        <f t="shared" si="29"/>
        <v>654.15832368081897</v>
      </c>
      <c r="GZ54" s="59">
        <f ca="1">AVERAGE(OFFSET($GY$3,0,0,'Données projet'!$E$18+1,1))-AVERAGE(OFFSET($H$3,0,0,'Données projet'!$E$18+1,1))</f>
        <v>199.58763537752952</v>
      </c>
      <c r="HA54" s="59">
        <f t="shared" si="52"/>
        <v>242.62852778451929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0</v>
      </c>
      <c r="HH54" s="21">
        <f>EXP(-LN(2)/25)*HH53+(1-EXP(-LN(2)/25))/(LN(2)/25)*Calculateur!HC54*Calculateur!HE54*VLOOKUP('Données projet'!$B$18,Paramètres!$A$1:$I$89,3,0)*0.475*44/12</f>
        <v>5.7445186751865567</v>
      </c>
      <c r="HI54" s="21">
        <f>EXP(-LN(2)/2)*HI53+(1-EXP(-LN(2)/2))/(LN(2)/2)*HC54*HF54*VLOOKUP('Données projet'!$B$18,Paramètres!$A$1:$I$89,3,0)*0.475*44/12</f>
        <v>7.4312215976377188E-3</v>
      </c>
      <c r="HJ54" s="22">
        <f t="shared" si="30"/>
        <v>5.7519498967841942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172.60000000000008</v>
      </c>
      <c r="O55" s="13">
        <f>N55*VLOOKUP('Données projet'!$B$9,Paramètres!$A$1:$I$89,3,0)*VLOOKUP('Données projet'!$B$9,Paramètres!$A$1:$I$89,5,0)</f>
        <v>156.16848000000005</v>
      </c>
      <c r="P55" s="13">
        <f t="shared" si="33"/>
        <v>39.977090041212335</v>
      </c>
      <c r="Q55" s="20">
        <f t="shared" si="53"/>
        <v>341.62020115511154</v>
      </c>
      <c r="R55" s="59">
        <f t="shared" si="0"/>
        <v>634.9535344884448</v>
      </c>
      <c r="S55" s="59">
        <f ca="1">AVERAGE(OFFSET($R$3,0,0,'Données projet'!$E$9+1,1))-AVERAGE(OFFSET($H$3,0,0,'Données projet'!$E$9+1,1))</f>
        <v>237.22177246688199</v>
      </c>
      <c r="T55" s="59">
        <f t="shared" si="34"/>
        <v>149.27472147904302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1.687665646447629</v>
      </c>
      <c r="AB55" s="21">
        <f>EXP(-LN(2)/2)*AB54+(1-EXP(-LN(2)/2))/(LN(2)/2)*V55*Y55*VLOOKUP('Données projet'!$B$9,Paramètres!$A$1:$I$89,3,0)*0.475*44/12</f>
        <v>3.0221425070451305E-3</v>
      </c>
      <c r="AC55" s="22">
        <f t="shared" si="3"/>
        <v>1.6906877889546741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</v>
      </c>
      <c r="AI55" s="13">
        <f>IF('Données projet'!$A$62&gt;35,AI54+AH55-AQ54,IF(A55&lt;'Données projet'!$A$62,$AF$205^A55,IF(A55='Données projet'!$A$62,'Données projet'!$B$62,AI54+AH55-AQ54)))</f>
        <v>172.60000000000008</v>
      </c>
      <c r="AJ55" s="13">
        <f>AI55*VLOOKUP('Données projet'!$B$10,Paramètres!$A$1:$I$89,3,0)*VLOOKUP('Données projet'!$B$10,Paramètres!$A$1:$I$89,5,0)</f>
        <v>175.01640000000009</v>
      </c>
      <c r="AK55" s="13">
        <f t="shared" si="35"/>
        <v>44.211621687190231</v>
      </c>
      <c r="AL55" s="20">
        <f t="shared" si="4"/>
        <v>381.82213777185649</v>
      </c>
      <c r="AM55" s="59">
        <f t="shared" si="5"/>
        <v>675.1554711051898</v>
      </c>
      <c r="AN55" s="59">
        <f ca="1">AVERAGE(OFFSET($AM$3,0,0,'Données projet'!$E$10+1,1))-AVERAGE(OFFSET($H$3,0,0,'Données projet'!$E$10+1,1))</f>
        <v>279.20364724206644</v>
      </c>
      <c r="AO55" s="59">
        <f t="shared" si="36"/>
        <v>173.99850582760712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1.8913494313637222</v>
      </c>
      <c r="AW55" s="21">
        <f>EXP(-LN(2)/2)*AW54+(1-EXP(-LN(2)/2))/(LN(2)/2)*AQ55*AT55*VLOOKUP('Données projet'!$B$10,Paramètres!$A$1:$I$89,3,0)*0.475*44/12</f>
        <v>3.3868838441023009E-3</v>
      </c>
      <c r="AX55" s="21">
        <f t="shared" si="6"/>
        <v>1.8947363152078245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13.499999999999996</v>
      </c>
      <c r="BD55" s="12">
        <f>IF('Données projet'!$A$88&gt;35,BD54+BC55-BL54,IF(A55&lt;'Données projet'!$A$88,$BA$205^A55,IF(A55='Données projet'!$A$88,'Données projet'!$B$88,BD54+BC55-BL54)))</f>
        <v>266.79999999999984</v>
      </c>
      <c r="BE55" s="13">
        <f>BD55*VLOOKUP('Données projet'!$B$11,Paramètres!$A$1:$I$89,3,0)*VLOOKUP('Données projet'!$B$11,Paramètres!$A$1:$I$89,5,0)</f>
        <v>124.86239999999994</v>
      </c>
      <c r="BF55" s="13">
        <f t="shared" si="37"/>
        <v>32.80643928056157</v>
      </c>
      <c r="BG55" s="20">
        <f t="shared" si="7"/>
        <v>274.60656174697795</v>
      </c>
      <c r="BH55" s="59">
        <f t="shared" si="8"/>
        <v>567.93989508031132</v>
      </c>
      <c r="BI55" s="59">
        <f ca="1">AVERAGE(OFFSET($BH$3,0,0,'Données projet'!$E$11+1,1))-AVERAGE(OFFSET($H$3,0,0,'Données projet'!$E$11+1,1))</f>
        <v>215.23235148064941</v>
      </c>
      <c r="BJ55" s="59">
        <f t="shared" si="38"/>
        <v>184.07239726900434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2.0274993599826621</v>
      </c>
      <c r="BQ55" s="21">
        <f>EXP(-LN(2)/25)*BQ54+(1-EXP(-LN(2)/25))/(LN(2)/25)*Calculateur!BL55*Calculateur!BN55*VLOOKUP('Données projet'!$B$11,Paramètres!$A$1:$I$89,3,0)*0.475*44/12</f>
        <v>4.26840348740759</v>
      </c>
      <c r="BR55" s="21">
        <f>EXP(-LN(2)/2)*BR54+(1-EXP(-LN(2)/2))/(LN(2)/2)*BL55*BO55*VLOOKUP('Données projet'!$B$11,Paramètres!$A$1:$I$89,3,0)*0.475*44/12</f>
        <v>4.8008674220195273E-3</v>
      </c>
      <c r="BS55" s="22">
        <f t="shared" si="9"/>
        <v>6.300703714812272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7.8</v>
      </c>
      <c r="BY55" s="12">
        <f>IF('Données projet'!$A$114&gt;35,BY54+BX55-CG54,IF(A55&lt;'Données projet'!$A$114,$BV$205^A55,IF(A55='Données projet'!$A$114,'Données projet'!$B$114,BY54+BX55-CG54)))</f>
        <v>172.60000000000008</v>
      </c>
      <c r="BZ55" s="13">
        <f>BY55*VLOOKUP('Données projet'!$B$12,Paramètres!$A$1:$I$89,3,0)*VLOOKUP('Données projet'!$B$12,Paramètres!$A$1:$I$89,5,0)</f>
        <v>185.78664000000009</v>
      </c>
      <c r="CA55" s="13">
        <f t="shared" si="39"/>
        <v>46.607226508772698</v>
      </c>
      <c r="CB55" s="20">
        <f t="shared" si="10"/>
        <v>404.75265083611265</v>
      </c>
      <c r="CC55" s="59">
        <f t="shared" si="11"/>
        <v>698.08598416944596</v>
      </c>
      <c r="CD55" s="59">
        <f ca="1">AVERAGE(OFFSET($CC$3,0,0,'Données projet'!$E$12+1,1))-AVERAGE(OFFSET($H$3,0,0,'Données projet'!$E$12+1,1))</f>
        <v>303.1504619632214</v>
      </c>
      <c r="CE55" s="59">
        <f t="shared" si="40"/>
        <v>188.09929616366503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2.0077401656014895</v>
      </c>
      <c r="CM55" s="21">
        <f>EXP(-LN(2)/2)*CM54+(1-EXP(-LN(2)/2))/(LN(2)/2)*CG55*CJ55*VLOOKUP('Données projet'!$B$12,Paramètres!$A$1:$I$89,3,0)*0.475*44/12</f>
        <v>3.5953074652778335E-3</v>
      </c>
      <c r="CN55" s="22">
        <f t="shared" si="12"/>
        <v>2.0113354730667674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5.6</v>
      </c>
      <c r="CT55" s="12">
        <f>IF('Données projet'!$A$140&gt;35,CT54+CS55-DB54,IF(A55&lt;'Données projet'!$A$140,$CQ$205^A55,IF(A55='Données projet'!$A$140,'Données projet'!$B$140,CT54+CS55-DB54)))</f>
        <v>213.19999999999973</v>
      </c>
      <c r="CU55" s="17">
        <f>CT55*VLOOKUP('Données projet'!$B$13,Paramètres!$A$1:$I$89,3,0)*VLOOKUP('Données projet'!$B$13,Paramètres!$A$1:$I$89,5,0)</f>
        <v>143.01455999999982</v>
      </c>
      <c r="CV55" s="13">
        <f t="shared" si="41"/>
        <v>36.986740267426512</v>
      </c>
      <c r="CW55" s="20">
        <f t="shared" si="13"/>
        <v>313.50226463243422</v>
      </c>
      <c r="CX55" s="59">
        <f t="shared" si="14"/>
        <v>606.83559796576753</v>
      </c>
      <c r="CY55" s="59">
        <f ca="1">AVERAGE(OFFSET($CX$3,0,0,'Données projet'!$E$13+1,1))-AVERAGE(OFFSET($H$3,0,0,'Données projet'!$E$13+1,1))</f>
        <v>156.63226020379989</v>
      </c>
      <c r="CZ55" s="59">
        <f t="shared" si="42"/>
        <v>196.0481096619543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4.7109741946405173</v>
      </c>
      <c r="DH55" s="21">
        <f>EXP(-LN(2)/2)*DH54+(1-EXP(-LN(2)/2))/(LN(2)/2)*DB55*DE55*VLOOKUP('Données projet'!$B$13,Paramètres!$A$1:$I$89,3,0)*0.475*44/12</f>
        <v>4.4304056651009978E-3</v>
      </c>
      <c r="DI55" s="22">
        <f t="shared" si="15"/>
        <v>4.715404600305618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-8.5265128291212022E-14</v>
      </c>
      <c r="DP55" s="17">
        <f>DO55*VLOOKUP('Données projet'!$B$14,Paramètres!$A$1:$I$89,3,0)*VLOOKUP('Données projet'!$B$14,Paramètres!$A$1:$I$89,5,0)</f>
        <v>-7.7147888077888636E-14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225.28075317732998</v>
      </c>
      <c r="DU55" s="59">
        <f t="shared" si="44"/>
        <v>358.43407531256207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1.451148582020277</v>
      </c>
      <c r="EB55" s="21">
        <f>EXP(-LN(2)/25)*EB54+(1-EXP(-LN(2)/25))/(LN(2)/25)*Calculateur!DW55*Calculateur!DY55*VLOOKUP('Données projet'!$B$14,Paramètres!$A$1:$I$89,3,0)*0.475*44/12</f>
        <v>4.4947661895070476</v>
      </c>
      <c r="EC55" s="21">
        <f>EXP(-LN(2)/2)*EC54+(1-EXP(-LN(2)/2))/(LN(2)/2)*DW55*DZ55*VLOOKUP('Données projet'!$B$14,Paramètres!$A$1:$I$89,3,0)*0.475*44/12</f>
        <v>2.1552837475437127E-3</v>
      </c>
      <c r="ED55" s="22">
        <f t="shared" si="18"/>
        <v>5.9480700552748687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16.2</v>
      </c>
      <c r="EJ55" s="12">
        <f>IF('Données projet'!$A$192&gt;35,EJ54+EI55-ER54,IF(A55&lt;'Données projet'!$A$192,$EG$205^A55,IF(A55='Données projet'!$A$192,'Données projet'!$B$192,EJ54+EI55-ER54)))</f>
        <v>433.39999999999981</v>
      </c>
      <c r="EK55" s="17">
        <f>EJ55*VLOOKUP('Données projet'!$B$15,Paramètres!$A$1:$I$89,3,0)*VLOOKUP('Données projet'!$B$15,Paramètres!$A$1:$I$89,5,0)</f>
        <v>242.27059999999989</v>
      </c>
      <c r="EL55" s="13">
        <f t="shared" si="45"/>
        <v>58.927793080541385</v>
      </c>
      <c r="EM55" s="20">
        <f t="shared" si="19"/>
        <v>524.58720128194273</v>
      </c>
      <c r="EN55" s="59">
        <f t="shared" si="20"/>
        <v>817.92053461527598</v>
      </c>
      <c r="EO55" s="59">
        <f ca="1">AVERAGE(OFFSET($EN$3,0,0,'Données projet'!$E$15+1,1))-AVERAGE(OFFSET($H$3,0,0,'Données projet'!$E$15+1,1))</f>
        <v>326.31232746914907</v>
      </c>
      <c r="EP55" s="59">
        <f t="shared" si="46"/>
        <v>330.17137761430297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2.9546226451453959</v>
      </c>
      <c r="EW55" s="21">
        <f>EXP(-LN(2)/25)*EW54+(1-EXP(-LN(2)/25))/(LN(2)/25)*Calculateur!ER55*Calculateur!ET55*VLOOKUP('Données projet'!$B$15,Paramètres!$A$1:$I$89,3,0)*0.475*44/12</f>
        <v>16.394997394306507</v>
      </c>
      <c r="EX55" s="21">
        <f>EXP(-LN(2)/2)*EX54+(1-EXP(-LN(2)/2))/(LN(2)/2)*ER55*EU55*VLOOKUP('Données projet'!$B$15,Paramètres!$A$1:$I$89,3,0)*0.475*44/12</f>
        <v>1.5879925962126583E-2</v>
      </c>
      <c r="EY55" s="22">
        <f t="shared" si="21"/>
        <v>19.365499965414031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10</v>
      </c>
      <c r="FE55" s="12">
        <f>IF('Données projet'!$A$218&gt;35,FE54+FD55-FM54,IF(A55&lt;'Données projet'!$A$218,$FB$205^A55,IF(A55='Données projet'!$A$218,'Données projet'!$B$218,FE54+FD55-FM54)))</f>
        <v>323.99999999999989</v>
      </c>
      <c r="FF55" s="17">
        <f>FE55*VLOOKUP('Données projet'!$B$16,Paramètres!$A$1:$I$89,3,0)*VLOOKUP('Données projet'!$B$16,Paramètres!$A$1:$I$89,5,0)</f>
        <v>202.17599999999996</v>
      </c>
      <c r="FG55" s="13">
        <f t="shared" si="47"/>
        <v>50.22208506756467</v>
      </c>
      <c r="FH55" s="20">
        <f t="shared" si="22"/>
        <v>439.59333149267508</v>
      </c>
      <c r="FI55" s="59">
        <f t="shared" si="23"/>
        <v>732.92666482600839</v>
      </c>
      <c r="FJ55" s="59">
        <f ca="1">AVERAGE(OFFSET($FI$3,0,0,'Données projet'!$E$16+1,1))-AVERAGE(OFFSET($H$3,0,0,'Données projet'!$E$16+1,1))</f>
        <v>255.41017495879987</v>
      </c>
      <c r="FK55" s="59">
        <f t="shared" si="48"/>
        <v>297.50513563712764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5.3970274110055403</v>
      </c>
      <c r="FR55" s="21">
        <f>EXP(-LN(2)/25)*FR54+(1-EXP(-LN(2)/25))/(LN(2)/25)*Calculateur!FM55*Calculateur!FO55*VLOOKUP('Données projet'!$B$16,Paramètres!$A$1:$I$89,3,0)*0.475*44/12</f>
        <v>15.143578427146748</v>
      </c>
      <c r="FS55" s="21">
        <f>EXP(-LN(2)/2)*FS54+(1-EXP(-LN(2)/2))/(LN(2)/2)*FM55*FP55*VLOOKUP('Données projet'!$B$16,Paramètres!$A$1:$I$89,3,0)*0.475*44/12</f>
        <v>1.1914644109820254E-2</v>
      </c>
      <c r="FT55" s="22">
        <f t="shared" si="24"/>
        <v>20.552520482262107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12.8</v>
      </c>
      <c r="FZ55" s="12">
        <f>IF('Données projet'!$A$244&gt;35,FZ54+FY55-GH54,IF(A55&lt;'Données projet'!$A$244,$FW$205^A55,IF(A55='Données projet'!$A$244,'Données projet'!$B$244,FZ54+FY55-GH54)))</f>
        <v>344.60000000000019</v>
      </c>
      <c r="GA55" s="17">
        <f>FZ55*VLOOKUP('Données projet'!$B$17,Paramètres!$A$1:$I$89,3,0)*VLOOKUP('Données projet'!$B$17,Paramètres!$A$1:$I$89,5,0)</f>
        <v>206.07080000000013</v>
      </c>
      <c r="GB55" s="13">
        <f t="shared" si="49"/>
        <v>51.076015061754575</v>
      </c>
      <c r="GC55" s="20">
        <f t="shared" si="25"/>
        <v>447.86403623255609</v>
      </c>
      <c r="GD55" s="59">
        <f t="shared" si="26"/>
        <v>741.1973695658894</v>
      </c>
      <c r="GE55" s="59">
        <f ca="1">AVERAGE(OFFSET($GD$3,0,0,'Données projet'!$E$17+1,1))-AVERAGE(OFFSET($H$3,0,0,'Données projet'!$E$17+1,1))</f>
        <v>259.30247982593914</v>
      </c>
      <c r="GF55" s="59">
        <f t="shared" si="50"/>
        <v>275.24740346220779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9.7985519691294005</v>
      </c>
      <c r="GN55" s="21">
        <f>EXP(-LN(2)/2)*GN54+(1-EXP(-LN(2)/2))/(LN(2)/2)*GH55*GK55*VLOOKUP('Données projet'!$B$17,Paramètres!$A$1:$I$89,3,0)*0.475*44/12</f>
        <v>1.4004135830988787E-2</v>
      </c>
      <c r="GO55" s="21">
        <f t="shared" si="27"/>
        <v>9.8125561049603895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5.6</v>
      </c>
      <c r="GU55" s="12">
        <f>IF('Données projet'!$A$270&gt;35,GU54+GT55-HC54,IF(A55&lt;'Données projet'!$A$270,$GR$205^A55,IF(A55='Données projet'!$A$270,'Données projet'!$B$270,GU54+GT55-HC54)))</f>
        <v>213.19999999999973</v>
      </c>
      <c r="GV55" s="17">
        <f>GU55*VLOOKUP('Données projet'!$B$18,Paramètres!$A$1:$I$89,3,0)*VLOOKUP('Données projet'!$B$18,Paramètres!$A$1:$I$89,5,0)</f>
        <v>169.62191999999982</v>
      </c>
      <c r="GW55" s="13">
        <f t="shared" si="51"/>
        <v>43.005335272941906</v>
      </c>
      <c r="GX55" s="20">
        <f t="shared" si="28"/>
        <v>370.32580293370683</v>
      </c>
      <c r="GY55" s="59">
        <f t="shared" si="29"/>
        <v>663.65913626704014</v>
      </c>
      <c r="GZ55" s="59">
        <f ca="1">AVERAGE(OFFSET($GY$3,0,0,'Données projet'!$E$18+1,1))-AVERAGE(OFFSET($H$3,0,0,'Données projet'!$E$18+1,1))</f>
        <v>199.58763537752952</v>
      </c>
      <c r="HA55" s="59">
        <f t="shared" si="52"/>
        <v>242.62852778451929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0</v>
      </c>
      <c r="HH55" s="21">
        <f>EXP(-LN(2)/25)*HH54+(1-EXP(-LN(2)/25))/(LN(2)/25)*Calculateur!HC55*Calculateur!HE55*VLOOKUP('Données projet'!$B$18,Paramètres!$A$1:$I$89,3,0)*0.475*44/12</f>
        <v>5.5874345099224723</v>
      </c>
      <c r="HI55" s="21">
        <f>EXP(-LN(2)/2)*HI54+(1-EXP(-LN(2)/2))/(LN(2)/2)*HC55*HF55*VLOOKUP('Données projet'!$B$18,Paramètres!$A$1:$I$89,3,0)*0.475*44/12</f>
        <v>5.2546671841895605E-3</v>
      </c>
      <c r="HJ55" s="22">
        <f t="shared" si="30"/>
        <v>5.5926891771066618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180.40000000000009</v>
      </c>
      <c r="O56" s="13">
        <f>N56*VLOOKUP('Données projet'!$B$9,Paramètres!$A$1:$I$89,3,0)*VLOOKUP('Données projet'!$B$9,Paramètres!$A$1:$I$89,5,0)</f>
        <v>163.22592000000009</v>
      </c>
      <c r="P56" s="13">
        <f t="shared" si="33"/>
        <v>41.569283201466128</v>
      </c>
      <c r="Q56" s="20">
        <f t="shared" si="53"/>
        <v>356.68497890922026</v>
      </c>
      <c r="R56" s="59">
        <f t="shared" si="0"/>
        <v>650.01831224255352</v>
      </c>
      <c r="S56" s="59">
        <f ca="1">AVERAGE(OFFSET($R$3,0,0,'Données projet'!$E$9+1,1))-AVERAGE(OFFSET($H$3,0,0,'Données projet'!$E$9+1,1))</f>
        <v>237.22177246688199</v>
      </c>
      <c r="T56" s="59">
        <f t="shared" si="34"/>
        <v>149.27472147904302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1.6415163405950395</v>
      </c>
      <c r="AB56" s="21">
        <f>EXP(-LN(2)/2)*AB55+(1-EXP(-LN(2)/2))/(LN(2)/2)*V56*Y56*VLOOKUP('Données projet'!$B$9,Paramètres!$A$1:$I$89,3,0)*0.475*44/12</f>
        <v>2.1369774604437252E-3</v>
      </c>
      <c r="AC56" s="22">
        <f t="shared" si="3"/>
        <v>1.6436533180554833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</v>
      </c>
      <c r="AI56" s="13">
        <f>IF('Données projet'!$A$62&gt;35,AI55+AH56-AQ55,IF(A56&lt;'Données projet'!$A$62,$AF$205^A56,IF(A56='Données projet'!$A$62,'Données projet'!$B$62,AI55+AH56-AQ55)))</f>
        <v>180.40000000000009</v>
      </c>
      <c r="AJ56" s="13">
        <f>AI56*VLOOKUP('Données projet'!$B$10,Paramètres!$A$1:$I$89,3,0)*VLOOKUP('Données projet'!$B$10,Paramètres!$A$1:$I$89,5,0)</f>
        <v>182.92560000000012</v>
      </c>
      <c r="AK56" s="13">
        <f t="shared" si="35"/>
        <v>45.97246625045144</v>
      </c>
      <c r="AL56" s="20">
        <f t="shared" si="4"/>
        <v>398.66413205286977</v>
      </c>
      <c r="AM56" s="59">
        <f t="shared" si="5"/>
        <v>691.99746538620309</v>
      </c>
      <c r="AN56" s="59">
        <f ca="1">AVERAGE(OFFSET($AM$3,0,0,'Données projet'!$E$10+1,1))-AVERAGE(OFFSET($H$3,0,0,'Données projet'!$E$10+1,1))</f>
        <v>279.20364724206644</v>
      </c>
      <c r="AO56" s="59">
        <f t="shared" si="36"/>
        <v>173.99850582760712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1.8396303817013373</v>
      </c>
      <c r="AW56" s="21">
        <f>EXP(-LN(2)/2)*AW55+(1-EXP(-LN(2)/2))/(LN(2)/2)*AQ56*AT56*VLOOKUP('Données projet'!$B$10,Paramètres!$A$1:$I$89,3,0)*0.475*44/12</f>
        <v>2.3948885332558986E-3</v>
      </c>
      <c r="AX56" s="21">
        <f t="shared" si="6"/>
        <v>1.8420252702345932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13.499999999999996</v>
      </c>
      <c r="BD56" s="12">
        <f>IF('Données projet'!$A$88&gt;35,BD55+BC56-BL55,IF(A56&lt;'Données projet'!$A$88,$BA$205^A56,IF(A56='Données projet'!$A$88,'Données projet'!$B$88,BD55+BC56-BL55)))</f>
        <v>280.29999999999984</v>
      </c>
      <c r="BE56" s="13">
        <f>BD56*VLOOKUP('Données projet'!$B$11,Paramètres!$A$1:$I$89,3,0)*VLOOKUP('Données projet'!$B$11,Paramètres!$A$1:$I$89,5,0)</f>
        <v>131.18039999999993</v>
      </c>
      <c r="BF56" s="13">
        <f t="shared" si="37"/>
        <v>34.268971460239172</v>
      </c>
      <c r="BG56" s="20">
        <f t="shared" si="7"/>
        <v>288.15765529324972</v>
      </c>
      <c r="BH56" s="59">
        <f t="shared" si="8"/>
        <v>581.49098862658298</v>
      </c>
      <c r="BI56" s="59">
        <f ca="1">AVERAGE(OFFSET($BH$3,0,0,'Données projet'!$E$11+1,1))-AVERAGE(OFFSET($H$3,0,0,'Données projet'!$E$11+1,1))</f>
        <v>215.23235148064941</v>
      </c>
      <c r="BJ56" s="59">
        <f t="shared" si="38"/>
        <v>184.07239726900434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1.9877413341859023</v>
      </c>
      <c r="BQ56" s="21">
        <f>EXP(-LN(2)/25)*BQ55+(1-EXP(-LN(2)/25))/(LN(2)/25)*Calculateur!BL56*Calculateur!BN56*VLOOKUP('Données projet'!$B$11,Paramètres!$A$1:$I$89,3,0)*0.475*44/12</f>
        <v>4.1516837695788453</v>
      </c>
      <c r="BR56" s="21">
        <f>EXP(-LN(2)/2)*BR55+(1-EXP(-LN(2)/2))/(LN(2)/2)*BL56*BO56*VLOOKUP('Données projet'!$B$11,Paramètres!$A$1:$I$89,3,0)*0.475*44/12</f>
        <v>3.3947259096875865E-3</v>
      </c>
      <c r="BS56" s="22">
        <f t="shared" si="9"/>
        <v>6.1428198296744343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7.8</v>
      </c>
      <c r="BY56" s="12">
        <f>IF('Données projet'!$A$114&gt;35,BY55+BX56-CG55,IF(A56&lt;'Données projet'!$A$114,$BV$205^A56,IF(A56='Données projet'!$A$114,'Données projet'!$B$114,BY55+BX56-CG55)))</f>
        <v>180.40000000000009</v>
      </c>
      <c r="BZ56" s="13">
        <f>BY56*VLOOKUP('Données projet'!$B$12,Paramètres!$A$1:$I$89,3,0)*VLOOKUP('Données projet'!$B$12,Paramètres!$A$1:$I$89,5,0)</f>
        <v>194.18256000000008</v>
      </c>
      <c r="CA56" s="13">
        <f t="shared" si="39"/>
        <v>48.463482359040057</v>
      </c>
      <c r="CB56" s="20">
        <f t="shared" si="10"/>
        <v>422.60852377532825</v>
      </c>
      <c r="CC56" s="59">
        <f t="shared" si="11"/>
        <v>715.94185710866157</v>
      </c>
      <c r="CD56" s="59">
        <f ca="1">AVERAGE(OFFSET($CC$3,0,0,'Données projet'!$E$12+1,1))-AVERAGE(OFFSET($H$3,0,0,'Données projet'!$E$12+1,1))</f>
        <v>303.1504619632214</v>
      </c>
      <c r="CE56" s="59">
        <f t="shared" si="40"/>
        <v>188.09929616366503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1.9528384051906502</v>
      </c>
      <c r="CM56" s="21">
        <f>EXP(-LN(2)/2)*CM55+(1-EXP(-LN(2)/2))/(LN(2)/2)*CG56*CJ56*VLOOKUP('Données projet'!$B$12,Paramètres!$A$1:$I$89,3,0)*0.475*44/12</f>
        <v>2.5422662891485741E-3</v>
      </c>
      <c r="CN56" s="22">
        <f t="shared" si="12"/>
        <v>1.9553806714797988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5.6</v>
      </c>
      <c r="CT56" s="12">
        <f>IF('Données projet'!$A$140&gt;35,CT55+CS56-DB55,IF(A56&lt;'Données projet'!$A$140,$CQ$205^A56,IF(A56='Données projet'!$A$140,'Données projet'!$B$140,CT55+CS56-DB55)))</f>
        <v>218.79999999999973</v>
      </c>
      <c r="CU56" s="17">
        <f>CT56*VLOOKUP('Données projet'!$B$13,Paramètres!$A$1:$I$89,3,0)*VLOOKUP('Données projet'!$B$13,Paramètres!$A$1:$I$89,5,0)</f>
        <v>146.7710399999998</v>
      </c>
      <c r="CV56" s="13">
        <f t="shared" si="41"/>
        <v>37.84386610242121</v>
      </c>
      <c r="CW56" s="20">
        <f t="shared" si="13"/>
        <v>321.53762812838323</v>
      </c>
      <c r="CX56" s="59">
        <f t="shared" si="14"/>
        <v>614.87096146171655</v>
      </c>
      <c r="CY56" s="59">
        <f ca="1">AVERAGE(OFFSET($CX$3,0,0,'Données projet'!$E$13+1,1))-AVERAGE(OFFSET($H$3,0,0,'Données projet'!$E$13+1,1))</f>
        <v>156.63226020379989</v>
      </c>
      <c r="CZ56" s="59">
        <f t="shared" si="42"/>
        <v>196.0481096619543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4.5821523575487069</v>
      </c>
      <c r="DH56" s="21">
        <f>EXP(-LN(2)/2)*DH55+(1-EXP(-LN(2)/2))/(LN(2)/2)*DB56*DE56*VLOOKUP('Données projet'!$B$13,Paramètres!$A$1:$I$89,3,0)*0.475*44/12</f>
        <v>3.1327698892002118E-3</v>
      </c>
      <c r="DI56" s="22">
        <f t="shared" si="15"/>
        <v>4.5852851274379072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-8.5265128291212022E-14</v>
      </c>
      <c r="DP56" s="17">
        <f>DO56*VLOOKUP('Données projet'!$B$14,Paramètres!$A$1:$I$89,3,0)*VLOOKUP('Données projet'!$B$14,Paramètres!$A$1:$I$89,5,0)</f>
        <v>-7.7147888077888636E-14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225.28075317732998</v>
      </c>
      <c r="DU56" s="59">
        <f t="shared" si="44"/>
        <v>358.43407531256207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1.4226924434400967</v>
      </c>
      <c r="EB56" s="21">
        <f>EXP(-LN(2)/25)*EB55+(1-EXP(-LN(2)/25))/(LN(2)/25)*Calculateur!DW56*Calculateur!DY56*VLOOKUP('Données projet'!$B$14,Paramètres!$A$1:$I$89,3,0)*0.475*44/12</f>
        <v>4.3718565716854965</v>
      </c>
      <c r="EC56" s="21">
        <f>EXP(-LN(2)/2)*EC55+(1-EXP(-LN(2)/2))/(LN(2)/2)*DW56*DZ56*VLOOKUP('Données projet'!$B$14,Paramètres!$A$1:$I$89,3,0)*0.475*44/12</f>
        <v>1.5240157532693142E-3</v>
      </c>
      <c r="ED56" s="22">
        <f t="shared" si="18"/>
        <v>5.7960730308788628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16.2</v>
      </c>
      <c r="EJ56" s="12">
        <f>IF('Données projet'!$A$192&gt;35,EJ55+EI56-ER55,IF(A56&lt;'Données projet'!$A$192,$EG$205^A56,IF(A56='Données projet'!$A$192,'Données projet'!$B$192,EJ55+EI56-ER55)))</f>
        <v>449.5999999999998</v>
      </c>
      <c r="EK56" s="17">
        <f>EJ56*VLOOKUP('Données projet'!$B$15,Paramètres!$A$1:$I$89,3,0)*VLOOKUP('Données projet'!$B$15,Paramètres!$A$1:$I$89,5,0)</f>
        <v>251.32639999999989</v>
      </c>
      <c r="EL56" s="13">
        <f t="shared" si="45"/>
        <v>60.869881917806573</v>
      </c>
      <c r="EM56" s="20">
        <f t="shared" si="19"/>
        <v>543.74185767351298</v>
      </c>
      <c r="EN56" s="59">
        <f t="shared" si="20"/>
        <v>837.07519100684635</v>
      </c>
      <c r="EO56" s="59">
        <f ca="1">AVERAGE(OFFSET($EN$3,0,0,'Données projet'!$E$15+1,1))-AVERAGE(OFFSET($H$3,0,0,'Données projet'!$E$15+1,1))</f>
        <v>326.31232746914907</v>
      </c>
      <c r="EP56" s="59">
        <f t="shared" si="46"/>
        <v>330.17137761430297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2.8966842972159617</v>
      </c>
      <c r="EW56" s="21">
        <f>EXP(-LN(2)/25)*EW55+(1-EXP(-LN(2)/25))/(LN(2)/25)*Calculateur!ER56*Calculateur!ET56*VLOOKUP('Données projet'!$B$15,Paramètres!$A$1:$I$89,3,0)*0.475*44/12</f>
        <v>15.946675328383755</v>
      </c>
      <c r="EX56" s="21">
        <f>EXP(-LN(2)/2)*EX55+(1-EXP(-LN(2)/2))/(LN(2)/2)*ER56*EU56*VLOOKUP('Données projet'!$B$15,Paramètres!$A$1:$I$89,3,0)*0.475*44/12</f>
        <v>1.1228803332560017E-2</v>
      </c>
      <c r="EY56" s="22">
        <f t="shared" si="21"/>
        <v>18.854588428932278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10</v>
      </c>
      <c r="FE56" s="12">
        <f>IF('Données projet'!$A$218&gt;35,FE55+FD56-FM55,IF(A56&lt;'Données projet'!$A$218,$FB$205^A56,IF(A56='Données projet'!$A$218,'Données projet'!$B$218,FE55+FD56-FM55)))</f>
        <v>333.99999999999989</v>
      </c>
      <c r="FF56" s="17">
        <f>FE56*VLOOKUP('Données projet'!$B$16,Paramètres!$A$1:$I$89,3,0)*VLOOKUP('Données projet'!$B$16,Paramètres!$A$1:$I$89,5,0)</f>
        <v>208.41599999999991</v>
      </c>
      <c r="FG56" s="13">
        <f t="shared" si="47"/>
        <v>51.589289462027516</v>
      </c>
      <c r="FH56" s="20">
        <f t="shared" si="22"/>
        <v>452.84254581303099</v>
      </c>
      <c r="FI56" s="59">
        <f t="shared" si="23"/>
        <v>746.17587914636431</v>
      </c>
      <c r="FJ56" s="59">
        <f ca="1">AVERAGE(OFFSET($FI$3,0,0,'Données projet'!$E$16+1,1))-AVERAGE(OFFSET($H$3,0,0,'Données projet'!$E$16+1,1))</f>
        <v>255.41017495879987</v>
      </c>
      <c r="FK56" s="59">
        <f t="shared" si="48"/>
        <v>297.50513563712764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5.2911949953373982</v>
      </c>
      <c r="FR56" s="21">
        <f>EXP(-LN(2)/25)*FR55+(1-EXP(-LN(2)/25))/(LN(2)/25)*Calculateur!FM56*Calculateur!FO56*VLOOKUP('Données projet'!$B$16,Paramètres!$A$1:$I$89,3,0)*0.475*44/12</f>
        <v>14.729476478690241</v>
      </c>
      <c r="FS56" s="21">
        <f>EXP(-LN(2)/2)*FS55+(1-EXP(-LN(2)/2))/(LN(2)/2)*FM56*FP56*VLOOKUP('Données projet'!$B$16,Paramètres!$A$1:$I$89,3,0)*0.475*44/12</f>
        <v>8.4249256454782574E-3</v>
      </c>
      <c r="FT56" s="22">
        <f t="shared" si="24"/>
        <v>20.029096399673119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12.8</v>
      </c>
      <c r="FZ56" s="12">
        <f>IF('Données projet'!$A$244&gt;35,FZ55+FY56-GH55,IF(A56&lt;'Données projet'!$A$244,$FW$205^A56,IF(A56='Données projet'!$A$244,'Données projet'!$B$244,FZ55+FY56-GH55)))</f>
        <v>357.4000000000002</v>
      </c>
      <c r="GA56" s="17">
        <f>FZ56*VLOOKUP('Données projet'!$B$17,Paramètres!$A$1:$I$89,3,0)*VLOOKUP('Données projet'!$B$17,Paramètres!$A$1:$I$89,5,0)</f>
        <v>213.72520000000014</v>
      </c>
      <c r="GB56" s="13">
        <f t="shared" si="49"/>
        <v>52.748800684046955</v>
      </c>
      <c r="GC56" s="20">
        <f t="shared" si="25"/>
        <v>464.10888452471528</v>
      </c>
      <c r="GD56" s="59">
        <f t="shared" si="26"/>
        <v>757.44221785804859</v>
      </c>
      <c r="GE56" s="59">
        <f ca="1">AVERAGE(OFFSET($GD$3,0,0,'Données projet'!$E$17+1,1))-AVERAGE(OFFSET($H$3,0,0,'Données projet'!$E$17+1,1))</f>
        <v>259.30247982593914</v>
      </c>
      <c r="GF56" s="59">
        <f t="shared" si="50"/>
        <v>275.24740346220779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9.5306100502501039</v>
      </c>
      <c r="GN56" s="21">
        <f>EXP(-LN(2)/2)*GN55+(1-EXP(-LN(2)/2))/(LN(2)/2)*GH56*GK56*VLOOKUP('Données projet'!$B$17,Paramètres!$A$1:$I$89,3,0)*0.475*44/12</f>
        <v>9.9024194107496782E-3</v>
      </c>
      <c r="GO56" s="21">
        <f t="shared" si="27"/>
        <v>9.5405124696608539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5.6</v>
      </c>
      <c r="GU56" s="12">
        <f>IF('Données projet'!$A$270&gt;35,GU55+GT56-HC55,IF(A56&lt;'Données projet'!$A$270,$GR$205^A56,IF(A56='Données projet'!$A$270,'Données projet'!$B$270,GU55+GT56-HC55)))</f>
        <v>218.79999999999973</v>
      </c>
      <c r="GV56" s="17">
        <f>GU56*VLOOKUP('Données projet'!$B$18,Paramètres!$A$1:$I$89,3,0)*VLOOKUP('Données projet'!$B$18,Paramètres!$A$1:$I$89,5,0)</f>
        <v>174.0772799999998</v>
      </c>
      <c r="GW56" s="13">
        <f t="shared" si="51"/>
        <v>44.001935233861104</v>
      </c>
      <c r="GX56" s="20">
        <f t="shared" si="28"/>
        <v>379.82129986564109</v>
      </c>
      <c r="GY56" s="59">
        <f t="shared" si="29"/>
        <v>673.15463319897435</v>
      </c>
      <c r="GZ56" s="59">
        <f ca="1">AVERAGE(OFFSET($GY$3,0,0,'Données projet'!$E$18+1,1))-AVERAGE(OFFSET($H$3,0,0,'Données projet'!$E$18+1,1))</f>
        <v>199.58763537752952</v>
      </c>
      <c r="HA56" s="59">
        <f t="shared" si="52"/>
        <v>242.62852778451929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0</v>
      </c>
      <c r="HH56" s="21">
        <f>EXP(-LN(2)/25)*HH55+(1-EXP(-LN(2)/25))/(LN(2)/25)*Calculateur!HC56*Calculateur!HE56*VLOOKUP('Données projet'!$B$18,Paramètres!$A$1:$I$89,3,0)*0.475*44/12</f>
        <v>5.4346458194182317</v>
      </c>
      <c r="HI56" s="21">
        <f>EXP(-LN(2)/2)*HI55+(1-EXP(-LN(2)/2))/(LN(2)/2)*HC56*HF56*VLOOKUP('Données projet'!$B$18,Paramètres!$A$1:$I$89,3,0)*0.475*44/12</f>
        <v>3.7156107988188594E-3</v>
      </c>
      <c r="HJ56" s="22">
        <f t="shared" si="30"/>
        <v>5.4383614302170509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188.2000000000001</v>
      </c>
      <c r="O57" s="13">
        <f>N57*VLOOKUP('Données projet'!$B$9,Paramètres!$A$1:$I$89,3,0)*VLOOKUP('Données projet'!$B$9,Paramètres!$A$1:$I$89,5,0)</f>
        <v>170.28336000000007</v>
      </c>
      <c r="P57" s="13">
        <f t="shared" si="33"/>
        <v>43.153480646462619</v>
      </c>
      <c r="Q57" s="20">
        <f t="shared" si="53"/>
        <v>371.73583079258918</v>
      </c>
      <c r="R57" s="59">
        <f t="shared" si="0"/>
        <v>665.0691641259225</v>
      </c>
      <c r="S57" s="59">
        <f ca="1">AVERAGE(OFFSET($R$3,0,0,'Données projet'!$E$9+1,1))-AVERAGE(OFFSET($H$3,0,0,'Données projet'!$E$9+1,1))</f>
        <v>237.22177246688199</v>
      </c>
      <c r="T57" s="59">
        <f t="shared" si="34"/>
        <v>149.27472147904302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1.5966289899378756</v>
      </c>
      <c r="AB57" s="21">
        <f>EXP(-LN(2)/2)*AB56+(1-EXP(-LN(2)/2))/(LN(2)/2)*V57*Y57*VLOOKUP('Données projet'!$B$9,Paramètres!$A$1:$I$89,3,0)*0.475*44/12</f>
        <v>1.5110712535225653E-3</v>
      </c>
      <c r="AC57" s="22">
        <f t="shared" si="3"/>
        <v>1.5981400611913981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</v>
      </c>
      <c r="AI57" s="13">
        <f>IF('Données projet'!$A$62&gt;35,AI56+AH57-AQ56,IF(A57&lt;'Données projet'!$A$62,$AF$205^A57,IF(A57='Données projet'!$A$62,'Données projet'!$B$62,AI56+AH57-AQ56)))</f>
        <v>188.2000000000001</v>
      </c>
      <c r="AJ57" s="13">
        <f>AI57*VLOOKUP('Données projet'!$B$10,Paramètres!$A$1:$I$89,3,0)*VLOOKUP('Données projet'!$B$10,Paramètres!$A$1:$I$89,5,0)</f>
        <v>190.83480000000012</v>
      </c>
      <c r="AK57" s="13">
        <f t="shared" si="35"/>
        <v>47.724468160640392</v>
      </c>
      <c r="AL57" s="20">
        <f t="shared" si="4"/>
        <v>415.49072537978219</v>
      </c>
      <c r="AM57" s="59">
        <f t="shared" si="5"/>
        <v>708.82405871311551</v>
      </c>
      <c r="AN57" s="59">
        <f ca="1">AVERAGE(OFFSET($AM$3,0,0,'Données projet'!$E$10+1,1))-AVERAGE(OFFSET($H$3,0,0,'Données projet'!$E$10+1,1))</f>
        <v>279.20364724206644</v>
      </c>
      <c r="AO57" s="59">
        <f t="shared" si="36"/>
        <v>173.99850582760712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1.789325592171757</v>
      </c>
      <c r="AW57" s="21">
        <f>EXP(-LN(2)/2)*AW56+(1-EXP(-LN(2)/2))/(LN(2)/2)*AQ57*AT57*VLOOKUP('Données projet'!$B$10,Paramètres!$A$1:$I$89,3,0)*0.475*44/12</f>
        <v>1.6934419220511504E-3</v>
      </c>
      <c r="AX57" s="21">
        <f t="shared" si="6"/>
        <v>1.7910190340938081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13.499999999999996</v>
      </c>
      <c r="BD57" s="12">
        <f>IF('Données projet'!$A$88&gt;35,BD56+BC57-BL56,IF(A57&lt;'Données projet'!$A$88,$BA$205^A57,IF(A57='Données projet'!$A$88,'Données projet'!$B$88,BD56+BC57-BL56)))</f>
        <v>293.79999999999984</v>
      </c>
      <c r="BE57" s="13">
        <f>BD57*VLOOKUP('Données projet'!$B$11,Paramètres!$A$1:$I$89,3,0)*VLOOKUP('Données projet'!$B$11,Paramètres!$A$1:$I$89,5,0)</f>
        <v>137.49839999999992</v>
      </c>
      <c r="BF57" s="13">
        <f t="shared" si="37"/>
        <v>35.723324086274197</v>
      </c>
      <c r="BG57" s="20">
        <f t="shared" si="7"/>
        <v>301.69450278359409</v>
      </c>
      <c r="BH57" s="59">
        <f t="shared" si="8"/>
        <v>595.02783611692735</v>
      </c>
      <c r="BI57" s="59">
        <f ca="1">AVERAGE(OFFSET($BH$3,0,0,'Données projet'!$E$11+1,1))-AVERAGE(OFFSET($H$3,0,0,'Données projet'!$E$11+1,1))</f>
        <v>215.23235148064941</v>
      </c>
      <c r="BJ57" s="59">
        <f t="shared" si="38"/>
        <v>184.07239726900434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1.9487629390250159</v>
      </c>
      <c r="BQ57" s="21">
        <f>EXP(-LN(2)/25)*BQ56+(1-EXP(-LN(2)/25))/(LN(2)/25)*Calculateur!BL57*Calculateur!BN57*VLOOKUP('Données projet'!$B$11,Paramètres!$A$1:$I$89,3,0)*0.475*44/12</f>
        <v>4.0381557585721515</v>
      </c>
      <c r="BR57" s="21">
        <f>EXP(-LN(2)/2)*BR56+(1-EXP(-LN(2)/2))/(LN(2)/2)*BL57*BO57*VLOOKUP('Données projet'!$B$11,Paramètres!$A$1:$I$89,3,0)*0.475*44/12</f>
        <v>2.4004337110097636E-3</v>
      </c>
      <c r="BS57" s="22">
        <f t="shared" si="9"/>
        <v>5.9893191313081768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7.8</v>
      </c>
      <c r="BY57" s="12">
        <f>IF('Données projet'!$A$114&gt;35,BY56+BX57-CG56,IF(A57&lt;'Données projet'!$A$114,$BV$205^A57,IF(A57='Données projet'!$A$114,'Données projet'!$B$114,BY56+BX57-CG56)))</f>
        <v>188.2000000000001</v>
      </c>
      <c r="BZ57" s="13">
        <f>BY57*VLOOKUP('Données projet'!$B$12,Paramètres!$A$1:$I$89,3,0)*VLOOKUP('Données projet'!$B$12,Paramètres!$A$1:$I$89,5,0)</f>
        <v>202.5784800000001</v>
      </c>
      <c r="CA57" s="13">
        <f t="shared" si="39"/>
        <v>50.310416417458406</v>
      </c>
      <c r="CB57" s="20">
        <f t="shared" si="10"/>
        <v>440.44816126040695</v>
      </c>
      <c r="CC57" s="59">
        <f t="shared" si="11"/>
        <v>733.78149459374026</v>
      </c>
      <c r="CD57" s="59">
        <f ca="1">AVERAGE(OFFSET($CC$3,0,0,'Données projet'!$E$12+1,1))-AVERAGE(OFFSET($H$3,0,0,'Données projet'!$E$12+1,1))</f>
        <v>303.1504619632214</v>
      </c>
      <c r="CE57" s="59">
        <f t="shared" si="40"/>
        <v>188.09929616366503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1.8994379363054035</v>
      </c>
      <c r="CM57" s="21">
        <f>EXP(-LN(2)/2)*CM56+(1-EXP(-LN(2)/2))/(LN(2)/2)*CG57*CJ57*VLOOKUP('Données projet'!$B$12,Paramètres!$A$1:$I$89,3,0)*0.475*44/12</f>
        <v>1.7976537326389169E-3</v>
      </c>
      <c r="CN57" s="22">
        <f t="shared" si="12"/>
        <v>1.9012355900380424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5.6</v>
      </c>
      <c r="CT57" s="12">
        <f>IF('Données projet'!$A$140&gt;35,CT56+CS57-DB56,IF(A57&lt;'Données projet'!$A$140,$CQ$205^A57,IF(A57='Données projet'!$A$140,'Données projet'!$B$140,CT56+CS57-DB56)))</f>
        <v>224.39999999999972</v>
      </c>
      <c r="CU57" s="17">
        <f>CT57*VLOOKUP('Données projet'!$B$13,Paramètres!$A$1:$I$89,3,0)*VLOOKUP('Données projet'!$B$13,Paramètres!$A$1:$I$89,5,0)</f>
        <v>150.52751999999981</v>
      </c>
      <c r="CV57" s="13">
        <f t="shared" si="41"/>
        <v>38.698441928903449</v>
      </c>
      <c r="CW57" s="20">
        <f t="shared" si="13"/>
        <v>329.56855035950645</v>
      </c>
      <c r="CX57" s="59">
        <f t="shared" si="14"/>
        <v>622.90188369283976</v>
      </c>
      <c r="CY57" s="59">
        <f ca="1">AVERAGE(OFFSET($CX$3,0,0,'Données projet'!$E$13+1,1))-AVERAGE(OFFSET($H$3,0,0,'Données projet'!$E$13+1,1))</f>
        <v>156.63226020379989</v>
      </c>
      <c r="CZ57" s="59">
        <f t="shared" si="42"/>
        <v>196.0481096619543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4.4568531603666175</v>
      </c>
      <c r="DH57" s="21">
        <f>EXP(-LN(2)/2)*DH56+(1-EXP(-LN(2)/2))/(LN(2)/2)*DB57*DE57*VLOOKUP('Données projet'!$B$13,Paramètres!$A$1:$I$89,3,0)*0.475*44/12</f>
        <v>2.2152028325504989E-3</v>
      </c>
      <c r="DI57" s="22">
        <f t="shared" si="15"/>
        <v>4.4590683631991679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-8.5265128291212022E-14</v>
      </c>
      <c r="DP57" s="17">
        <f>DO57*VLOOKUP('Données projet'!$B$14,Paramètres!$A$1:$I$89,3,0)*VLOOKUP('Données projet'!$B$14,Paramètres!$A$1:$I$89,5,0)</f>
        <v>-7.7147888077888636E-14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225.28075317732998</v>
      </c>
      <c r="DU57" s="59">
        <f t="shared" si="44"/>
        <v>358.43407531256207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1.394794312380943</v>
      </c>
      <c r="EB57" s="21">
        <f>EXP(-LN(2)/25)*EB56+(1-EXP(-LN(2)/25))/(LN(2)/25)*Calculateur!DW57*Calculateur!DY57*VLOOKUP('Données projet'!$B$14,Paramètres!$A$1:$I$89,3,0)*0.475*44/12</f>
        <v>4.2523079238268116</v>
      </c>
      <c r="EC57" s="21">
        <f>EXP(-LN(2)/2)*EC56+(1-EXP(-LN(2)/2))/(LN(2)/2)*DW57*DZ57*VLOOKUP('Données projet'!$B$14,Paramètres!$A$1:$I$89,3,0)*0.475*44/12</f>
        <v>1.0776418737718564E-3</v>
      </c>
      <c r="ED57" s="22">
        <f t="shared" si="18"/>
        <v>5.6481798780815256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16.2</v>
      </c>
      <c r="EJ57" s="12">
        <f>IF('Données projet'!$A$192&gt;35,EJ56+EI57-ER56,IF(A57&lt;'Données projet'!$A$192,$EG$205^A57,IF(A57='Données projet'!$A$192,'Données projet'!$B$192,EJ56+EI57-ER56)))</f>
        <v>465.79999999999978</v>
      </c>
      <c r="EK57" s="17">
        <f>EJ57*VLOOKUP('Données projet'!$B$15,Paramètres!$A$1:$I$89,3,0)*VLOOKUP('Données projet'!$B$15,Paramètres!$A$1:$I$89,5,0)</f>
        <v>260.3821999999999</v>
      </c>
      <c r="EL57" s="13">
        <f t="shared" si="45"/>
        <v>62.803840584871082</v>
      </c>
      <c r="EM57" s="20">
        <f t="shared" si="19"/>
        <v>562.88235401865029</v>
      </c>
      <c r="EN57" s="59">
        <f t="shared" si="20"/>
        <v>856.21568735198366</v>
      </c>
      <c r="EO57" s="59">
        <f ca="1">AVERAGE(OFFSET($EN$3,0,0,'Données projet'!$E$15+1,1))-AVERAGE(OFFSET($H$3,0,0,'Données projet'!$E$15+1,1))</f>
        <v>326.31232746914907</v>
      </c>
      <c r="EP57" s="59">
        <f t="shared" si="46"/>
        <v>330.17137761430297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2.8398820849505206</v>
      </c>
      <c r="EW57" s="21">
        <f>EXP(-LN(2)/25)*EW56+(1-EXP(-LN(2)/25))/(LN(2)/25)*Calculateur!ER57*Calculateur!ET57*VLOOKUP('Données projet'!$B$15,Paramètres!$A$1:$I$89,3,0)*0.475*44/12</f>
        <v>15.510612652929892</v>
      </c>
      <c r="EX57" s="21">
        <f>EXP(-LN(2)/2)*EX56+(1-EXP(-LN(2)/2))/(LN(2)/2)*ER57*EU57*VLOOKUP('Données projet'!$B$15,Paramètres!$A$1:$I$89,3,0)*0.475*44/12</f>
        <v>7.9399629810632914E-3</v>
      </c>
      <c r="EY57" s="22">
        <f t="shared" si="21"/>
        <v>18.358434700861473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10</v>
      </c>
      <c r="FE57" s="12">
        <f>IF('Données projet'!$A$218&gt;35,FE56+FD57-FM56,IF(A57&lt;'Données projet'!$A$218,$FB$205^A57,IF(A57='Données projet'!$A$218,'Données projet'!$B$218,FE56+FD57-FM56)))</f>
        <v>343.99999999999989</v>
      </c>
      <c r="FF57" s="17">
        <f>FE57*VLOOKUP('Données projet'!$B$16,Paramètres!$A$1:$I$89,3,0)*VLOOKUP('Données projet'!$B$16,Paramètres!$A$1:$I$89,5,0)</f>
        <v>214.65599999999995</v>
      </c>
      <c r="FG57" s="13">
        <f t="shared" si="47"/>
        <v>52.951736650296546</v>
      </c>
      <c r="FH57" s="20">
        <f t="shared" si="22"/>
        <v>466.08347466593301</v>
      </c>
      <c r="FI57" s="59">
        <f t="shared" si="23"/>
        <v>759.41680799926633</v>
      </c>
      <c r="FJ57" s="59">
        <f ca="1">AVERAGE(OFFSET($FI$3,0,0,'Données projet'!$E$16+1,1))-AVERAGE(OFFSET($H$3,0,0,'Données projet'!$E$16+1,1))</f>
        <v>255.41017495879987</v>
      </c>
      <c r="FK57" s="59">
        <f t="shared" si="48"/>
        <v>297.50513563712764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5.1874378887891082</v>
      </c>
      <c r="FR57" s="21">
        <f>EXP(-LN(2)/25)*FR56+(1-EXP(-LN(2)/25))/(LN(2)/25)*Calculateur!FM57*Calculateur!FO57*VLOOKUP('Données projet'!$B$16,Paramètres!$A$1:$I$89,3,0)*0.475*44/12</f>
        <v>14.326698169790953</v>
      </c>
      <c r="FS57" s="21">
        <f>EXP(-LN(2)/2)*FS56+(1-EXP(-LN(2)/2))/(LN(2)/2)*FM57*FP57*VLOOKUP('Données projet'!$B$16,Paramètres!$A$1:$I$89,3,0)*0.475*44/12</f>
        <v>5.9573220549101269E-3</v>
      </c>
      <c r="FT57" s="22">
        <f t="shared" si="24"/>
        <v>19.520093380634972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12.8</v>
      </c>
      <c r="FZ57" s="12">
        <f>IF('Données projet'!$A$244&gt;35,FZ56+FY57-GH56,IF(A57&lt;'Données projet'!$A$244,$FW$205^A57,IF(A57='Données projet'!$A$244,'Données projet'!$B$244,FZ56+FY57-GH56)))</f>
        <v>370.20000000000022</v>
      </c>
      <c r="GA57" s="17">
        <f>FZ57*VLOOKUP('Données projet'!$B$17,Paramètres!$A$1:$I$89,3,0)*VLOOKUP('Données projet'!$B$17,Paramètres!$A$1:$I$89,5,0)</f>
        <v>221.37960000000015</v>
      </c>
      <c r="GB57" s="13">
        <f t="shared" si="49"/>
        <v>54.414625783743794</v>
      </c>
      <c r="GC57" s="20">
        <f t="shared" si="25"/>
        <v>480.34160990668738</v>
      </c>
      <c r="GD57" s="59">
        <f t="shared" si="26"/>
        <v>773.67494324002064</v>
      </c>
      <c r="GE57" s="59">
        <f ca="1">AVERAGE(OFFSET($GD$3,0,0,'Données projet'!$E$17+1,1))-AVERAGE(OFFSET($H$3,0,0,'Données projet'!$E$17+1,1))</f>
        <v>259.30247982593914</v>
      </c>
      <c r="GF57" s="59">
        <f t="shared" si="50"/>
        <v>275.24740346220779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9.2699950172330148</v>
      </c>
      <c r="GN57" s="21">
        <f>EXP(-LN(2)/2)*GN56+(1-EXP(-LN(2)/2))/(LN(2)/2)*GH57*GK57*VLOOKUP('Données projet'!$B$17,Paramètres!$A$1:$I$89,3,0)*0.475*44/12</f>
        <v>7.0020679154943937E-3</v>
      </c>
      <c r="GO57" s="21">
        <f t="shared" si="27"/>
        <v>9.2769970851485084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5.6</v>
      </c>
      <c r="GU57" s="12">
        <f>IF('Données projet'!$A$270&gt;35,GU56+GT57-HC56,IF(A57&lt;'Données projet'!$A$270,$GR$205^A57,IF(A57='Données projet'!$A$270,'Données projet'!$B$270,GU56+GT57-HC56)))</f>
        <v>224.39999999999972</v>
      </c>
      <c r="GV57" s="17">
        <f>GU57*VLOOKUP('Données projet'!$B$18,Paramètres!$A$1:$I$89,3,0)*VLOOKUP('Données projet'!$B$18,Paramètres!$A$1:$I$89,5,0)</f>
        <v>178.53263999999979</v>
      </c>
      <c r="GW57" s="13">
        <f t="shared" si="51"/>
        <v>44.99557024111764</v>
      </c>
      <c r="GX57" s="20">
        <f t="shared" si="28"/>
        <v>389.31163283661289</v>
      </c>
      <c r="GY57" s="59">
        <f t="shared" si="29"/>
        <v>682.6449661699462</v>
      </c>
      <c r="GZ57" s="59">
        <f ca="1">AVERAGE(OFFSET($GY$3,0,0,'Données projet'!$E$18+1,1))-AVERAGE(OFFSET($H$3,0,0,'Données projet'!$E$18+1,1))</f>
        <v>199.58763537752952</v>
      </c>
      <c r="HA57" s="59">
        <f t="shared" si="52"/>
        <v>242.62852778451929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0</v>
      </c>
      <c r="HH57" s="21">
        <f>EXP(-LN(2)/25)*HH56+(1-EXP(-LN(2)/25))/(LN(2)/25)*Calculateur!HC57*Calculateur!HE57*VLOOKUP('Données projet'!$B$18,Paramètres!$A$1:$I$89,3,0)*0.475*44/12</f>
        <v>5.2860351436906372</v>
      </c>
      <c r="HI57" s="21">
        <f>EXP(-LN(2)/2)*HI56+(1-EXP(-LN(2)/2))/(LN(2)/2)*HC57*HF57*VLOOKUP('Données projet'!$B$18,Paramètres!$A$1:$I$89,3,0)*0.475*44/12</f>
        <v>2.6273335920947802E-3</v>
      </c>
      <c r="HJ57" s="22">
        <f t="shared" si="30"/>
        <v>5.288662477282732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196.00000000000011</v>
      </c>
      <c r="O58" s="13">
        <f>N58*VLOOKUP('Données projet'!$B$9,Paramètres!$A$1:$I$89,3,0)*VLOOKUP('Données projet'!$B$9,Paramètres!$A$1:$I$89,5,0)</f>
        <v>177.34080000000012</v>
      </c>
      <c r="P58" s="13">
        <f t="shared" si="33"/>
        <v>44.730051658603102</v>
      </c>
      <c r="Q58" s="20">
        <f t="shared" si="53"/>
        <v>386.77339997206718</v>
      </c>
      <c r="R58" s="59">
        <f t="shared" si="0"/>
        <v>680.10673330540044</v>
      </c>
      <c r="S58" s="59">
        <f ca="1">AVERAGE(OFFSET($R$3,0,0,'Données projet'!$E$9+1,1))-AVERAGE(OFFSET($H$3,0,0,'Données projet'!$E$9+1,1))</f>
        <v>237.22177246688199</v>
      </c>
      <c r="T58" s="59">
        <f t="shared" si="34"/>
        <v>149.27472147904302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1.552969086244955</v>
      </c>
      <c r="AB58" s="21">
        <f>EXP(-LN(2)/2)*AB57+(1-EXP(-LN(2)/2))/(LN(2)/2)*V58*Y58*VLOOKUP('Données projet'!$B$9,Paramètres!$A$1:$I$89,3,0)*0.475*44/12</f>
        <v>1.0684887302218626E-3</v>
      </c>
      <c r="AC58" s="22">
        <f t="shared" si="3"/>
        <v>1.5540375749751769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7.8</v>
      </c>
      <c r="AI58" s="13">
        <f>IF('Données projet'!$A$62&gt;35,AI57+AH58-AQ57,IF(A58&lt;'Données projet'!$A$62,$AF$205^A58,IF(A58='Données projet'!$A$62,'Données projet'!$B$62,AI57+AH58-AQ57)))</f>
        <v>196.00000000000011</v>
      </c>
      <c r="AJ58" s="13">
        <f>AI58*VLOOKUP('Données projet'!$B$10,Paramètres!$A$1:$I$89,3,0)*VLOOKUP('Données projet'!$B$10,Paramètres!$A$1:$I$89,5,0)</f>
        <v>198.74400000000011</v>
      </c>
      <c r="AK58" s="13">
        <f t="shared" si="35"/>
        <v>49.468035816012197</v>
      </c>
      <c r="AL58" s="20">
        <f t="shared" si="4"/>
        <v>432.3026290462214</v>
      </c>
      <c r="AM58" s="59">
        <f t="shared" si="5"/>
        <v>725.63596237955471</v>
      </c>
      <c r="AN58" s="59">
        <f ca="1">AVERAGE(OFFSET($AM$3,0,0,'Données projet'!$E$10+1,1))-AVERAGE(OFFSET($H$3,0,0,'Données projet'!$E$10+1,1))</f>
        <v>279.20364724206644</v>
      </c>
      <c r="AO58" s="59">
        <f t="shared" si="36"/>
        <v>173.99850582760712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1.740396389757277</v>
      </c>
      <c r="AW58" s="21">
        <f>EXP(-LN(2)/2)*AW57+(1-EXP(-LN(2)/2))/(LN(2)/2)*AQ58*AT58*VLOOKUP('Données projet'!$B$10,Paramètres!$A$1:$I$89,3,0)*0.475*44/12</f>
        <v>1.1974442666279493E-3</v>
      </c>
      <c r="AX58" s="21">
        <f t="shared" si="6"/>
        <v>1.741593834023905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13.499999999999996</v>
      </c>
      <c r="BD58" s="12">
        <f>IF('Données projet'!$A$88&gt;35,BD57+BC58-BL57,IF(A58&lt;'Données projet'!$A$88,$BA$205^A58,IF(A58='Données projet'!$A$88,'Données projet'!$B$88,BD57+BC58-BL57)))</f>
        <v>307.29999999999984</v>
      </c>
      <c r="BE58" s="13">
        <f>BD58*VLOOKUP('Données projet'!$B$11,Paramètres!$A$1:$I$89,3,0)*VLOOKUP('Données projet'!$B$11,Paramètres!$A$1:$I$89,5,0)</f>
        <v>143.81639999999993</v>
      </c>
      <c r="BF58" s="13">
        <f t="shared" si="37"/>
        <v>37.169915935828818</v>
      </c>
      <c r="BG58" s="20">
        <f t="shared" si="7"/>
        <v>315.21783358823507</v>
      </c>
      <c r="BH58" s="59">
        <f t="shared" si="8"/>
        <v>608.55116692156844</v>
      </c>
      <c r="BI58" s="59">
        <f ca="1">AVERAGE(OFFSET($BH$3,0,0,'Données projet'!$E$11+1,1))-AVERAGE(OFFSET($H$3,0,0,'Données projet'!$E$11+1,1))</f>
        <v>215.23235148064941</v>
      </c>
      <c r="BJ58" s="59">
        <f t="shared" si="38"/>
        <v>184.07239726900434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1.9105488864187608</v>
      </c>
      <c r="BQ58" s="21">
        <f>EXP(-LN(2)/25)*BQ57+(1-EXP(-LN(2)/25))/(LN(2)/25)*Calculateur!BL58*Calculateur!BN58*VLOOKUP('Données projet'!$B$11,Paramètres!$A$1:$I$89,3,0)*0.475*44/12</f>
        <v>3.927732176996614</v>
      </c>
      <c r="BR58" s="21">
        <f>EXP(-LN(2)/2)*BR57+(1-EXP(-LN(2)/2))/(LN(2)/2)*BL58*BO58*VLOOKUP('Données projet'!$B$11,Paramètres!$A$1:$I$89,3,0)*0.475*44/12</f>
        <v>1.6973629548437932E-3</v>
      </c>
      <c r="BS58" s="22">
        <f t="shared" si="9"/>
        <v>5.8399784263702186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7.8</v>
      </c>
      <c r="BY58" s="12">
        <f>IF('Données projet'!$A$114&gt;35,BY57+BX58-CG57,IF(A58&lt;'Données projet'!$A$114,$BV$205^A58,IF(A58='Données projet'!$A$114,'Données projet'!$B$114,BY57+BX58-CG57)))</f>
        <v>196.00000000000011</v>
      </c>
      <c r="BZ58" s="13">
        <f>BY58*VLOOKUP('Données projet'!$B$12,Paramètres!$A$1:$I$89,3,0)*VLOOKUP('Données projet'!$B$12,Paramètres!$A$1:$I$89,5,0)</f>
        <v>210.97440000000012</v>
      </c>
      <c r="CA58" s="13">
        <f t="shared" si="39"/>
        <v>52.148459211324756</v>
      </c>
      <c r="CB58" s="20">
        <f t="shared" si="10"/>
        <v>458.27231312639077</v>
      </c>
      <c r="CC58" s="59">
        <f t="shared" si="11"/>
        <v>751.60564645972408</v>
      </c>
      <c r="CD58" s="59">
        <f ca="1">AVERAGE(OFFSET($CC$3,0,0,'Données projet'!$E$12+1,1))-AVERAGE(OFFSET($H$3,0,0,'Données projet'!$E$12+1,1))</f>
        <v>303.1504619632214</v>
      </c>
      <c r="CE58" s="59">
        <f t="shared" si="40"/>
        <v>188.09929616366503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1.8474977060500324</v>
      </c>
      <c r="CM58" s="21">
        <f>EXP(-LN(2)/2)*CM57+(1-EXP(-LN(2)/2))/(LN(2)/2)*CG58*CJ58*VLOOKUP('Données projet'!$B$12,Paramètres!$A$1:$I$89,3,0)*0.475*44/12</f>
        <v>1.271133144574287E-3</v>
      </c>
      <c r="CN58" s="22">
        <f t="shared" si="12"/>
        <v>1.8487688391946067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5.6</v>
      </c>
      <c r="CT58" s="12">
        <f>IF('Données projet'!$A$140&gt;35,CT57+CS58-DB57,IF(A58&lt;'Données projet'!$A$140,$CQ$205^A58,IF(A58='Données projet'!$A$140,'Données projet'!$B$140,CT57+CS58-DB57)))</f>
        <v>229.99999999999972</v>
      </c>
      <c r="CU58" s="17">
        <f>CT58*VLOOKUP('Données projet'!$B$13,Paramètres!$A$1:$I$89,3,0)*VLOOKUP('Données projet'!$B$13,Paramètres!$A$1:$I$89,5,0)</f>
        <v>154.28399999999982</v>
      </c>
      <c r="CV58" s="13">
        <f t="shared" si="41"/>
        <v>39.550538702560964</v>
      </c>
      <c r="CW58" s="20">
        <f t="shared" si="13"/>
        <v>337.59515490695998</v>
      </c>
      <c r="CX58" s="59">
        <f t="shared" si="14"/>
        <v>630.92848824029329</v>
      </c>
      <c r="CY58" s="59">
        <f ca="1">AVERAGE(OFFSET($CX$3,0,0,'Données projet'!$E$13+1,1))-AVERAGE(OFFSET($H$3,0,0,'Données projet'!$E$13+1,1))</f>
        <v>156.63226020379989</v>
      </c>
      <c r="CZ58" s="59">
        <f t="shared" si="42"/>
        <v>196.0481096619543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4.3349802763206711</v>
      </c>
      <c r="DH58" s="21">
        <f>EXP(-LN(2)/2)*DH57+(1-EXP(-LN(2)/2))/(LN(2)/2)*DB58*DE58*VLOOKUP('Données projet'!$B$13,Paramètres!$A$1:$I$89,3,0)*0.475*44/12</f>
        <v>1.5663849446001059E-3</v>
      </c>
      <c r="DI58" s="22">
        <f t="shared" si="15"/>
        <v>4.3365466612652712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-8.5265128291212022E-14</v>
      </c>
      <c r="DP58" s="17">
        <f>DO58*VLOOKUP('Données projet'!$B$14,Paramètres!$A$1:$I$89,3,0)*VLOOKUP('Données projet'!$B$14,Paramètres!$A$1:$I$89,5,0)</f>
        <v>-7.7147888077888636E-14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225.28075317732998</v>
      </c>
      <c r="DU58" s="59">
        <f t="shared" si="44"/>
        <v>358.43407531256207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1.3674432466556796</v>
      </c>
      <c r="EB58" s="21">
        <f>EXP(-LN(2)/25)*EB57+(1-EXP(-LN(2)/25))/(LN(2)/25)*Calculateur!DW58*Calculateur!DY58*VLOOKUP('Données projet'!$B$14,Paramètres!$A$1:$I$89,3,0)*0.475*44/12</f>
        <v>4.1360283400306121</v>
      </c>
      <c r="EC58" s="21">
        <f>EXP(-LN(2)/2)*EC57+(1-EXP(-LN(2)/2))/(LN(2)/2)*DW58*DZ58*VLOOKUP('Données projet'!$B$14,Paramètres!$A$1:$I$89,3,0)*0.475*44/12</f>
        <v>7.620078766346571E-4</v>
      </c>
      <c r="ED58" s="22">
        <f t="shared" si="18"/>
        <v>5.5042335945629262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16.2</v>
      </c>
      <c r="EJ58" s="12">
        <f>IF('Données projet'!$A$192&gt;35,EJ57+EI58-ER57,IF(A58&lt;'Données projet'!$A$192,$EG$205^A58,IF(A58='Données projet'!$A$192,'Données projet'!$B$192,EJ57+EI58-ER57)))</f>
        <v>481.99999999999977</v>
      </c>
      <c r="EK58" s="17">
        <f>EJ58*VLOOKUP('Données projet'!$B$15,Paramètres!$A$1:$I$89,3,0)*VLOOKUP('Données projet'!$B$15,Paramètres!$A$1:$I$89,5,0)</f>
        <v>269.43799999999987</v>
      </c>
      <c r="EL58" s="13">
        <f t="shared" si="45"/>
        <v>64.729984244002736</v>
      </c>
      <c r="EM58" s="20">
        <f t="shared" si="19"/>
        <v>582.00923922497111</v>
      </c>
      <c r="EN58" s="59">
        <f t="shared" si="20"/>
        <v>875.34257255830448</v>
      </c>
      <c r="EO58" s="59">
        <f ca="1">AVERAGE(OFFSET($EN$3,0,0,'Données projet'!$E$15+1,1))-AVERAGE(OFFSET($H$3,0,0,'Données projet'!$E$15+1,1))</f>
        <v>326.31232746914907</v>
      </c>
      <c r="EP58" s="59">
        <f t="shared" si="46"/>
        <v>330.17137761430297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2.7841937294216765</v>
      </c>
      <c r="EW58" s="21">
        <f>EXP(-LN(2)/25)*EW57+(1-EXP(-LN(2)/25))/(LN(2)/25)*Calculateur!ER58*Calculateur!ET58*VLOOKUP('Données projet'!$B$15,Paramètres!$A$1:$I$89,3,0)*0.475*44/12</f>
        <v>15.086474134267855</v>
      </c>
      <c r="EX58" s="21">
        <f>EXP(-LN(2)/2)*EX57+(1-EXP(-LN(2)/2))/(LN(2)/2)*ER58*EU58*VLOOKUP('Données projet'!$B$15,Paramètres!$A$1:$I$89,3,0)*0.475*44/12</f>
        <v>5.6144016662800084E-3</v>
      </c>
      <c r="EY58" s="22">
        <f t="shared" si="21"/>
        <v>17.876282265355808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10</v>
      </c>
      <c r="FE58" s="12">
        <f>IF('Données projet'!$A$218&gt;35,FE57+FD58-FM57,IF(A58&lt;'Données projet'!$A$218,$FB$205^A58,IF(A58='Données projet'!$A$218,'Données projet'!$B$218,FE57+FD58-FM57)))</f>
        <v>353.99999999999989</v>
      </c>
      <c r="FF58" s="17">
        <f>FE58*VLOOKUP('Données projet'!$B$16,Paramètres!$A$1:$I$89,3,0)*VLOOKUP('Données projet'!$B$16,Paramètres!$A$1:$I$89,5,0)</f>
        <v>220.89599999999993</v>
      </c>
      <c r="FG58" s="13">
        <f t="shared" si="47"/>
        <v>54.309580803412238</v>
      </c>
      <c r="FH58" s="20">
        <f t="shared" si="22"/>
        <v>479.31638656594276</v>
      </c>
      <c r="FI58" s="59">
        <f t="shared" si="23"/>
        <v>772.64971989927608</v>
      </c>
      <c r="FJ58" s="59">
        <f ca="1">AVERAGE(OFFSET($FI$3,0,0,'Données projet'!$E$16+1,1))-AVERAGE(OFFSET($H$3,0,0,'Données projet'!$E$16+1,1))</f>
        <v>255.41017495879987</v>
      </c>
      <c r="FK58" s="59">
        <f t="shared" si="48"/>
        <v>297.50513563712764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5.0857153958146446</v>
      </c>
      <c r="FR58" s="21">
        <f>EXP(-LN(2)/25)*FR57+(1-EXP(-LN(2)/25))/(LN(2)/25)*Calculateur!FM58*Calculateur!FO58*VLOOKUP('Données projet'!$B$16,Paramètres!$A$1:$I$89,3,0)*0.475*44/12</f>
        <v>13.934933854929707</v>
      </c>
      <c r="FS58" s="21">
        <f>EXP(-LN(2)/2)*FS57+(1-EXP(-LN(2)/2))/(LN(2)/2)*FM58*FP58*VLOOKUP('Données projet'!$B$16,Paramètres!$A$1:$I$89,3,0)*0.475*44/12</f>
        <v>4.2124628227391287E-3</v>
      </c>
      <c r="FT58" s="22">
        <f t="shared" si="24"/>
        <v>19.024861713567091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12.8</v>
      </c>
      <c r="FZ58" s="12">
        <f>IF('Données projet'!$A$244&gt;35,FZ57+FY58-GH57,IF(A58&lt;'Données projet'!$A$244,$FW$205^A58,IF(A58='Données projet'!$A$244,'Données projet'!$B$244,FZ57+FY58-GH57)))</f>
        <v>383.00000000000023</v>
      </c>
      <c r="GA58" s="17">
        <f>FZ58*VLOOKUP('Données projet'!$B$17,Paramètres!$A$1:$I$89,3,0)*VLOOKUP('Données projet'!$B$17,Paramètres!$A$1:$I$89,5,0)</f>
        <v>229.03400000000016</v>
      </c>
      <c r="GB58" s="13">
        <f t="shared" si="49"/>
        <v>56.073758609460775</v>
      </c>
      <c r="GC58" s="20">
        <f t="shared" si="25"/>
        <v>496.56267957814447</v>
      </c>
      <c r="GD58" s="59">
        <f t="shared" si="26"/>
        <v>789.89601291147778</v>
      </c>
      <c r="GE58" s="59">
        <f ca="1">AVERAGE(OFFSET($GD$3,0,0,'Données projet'!$E$17+1,1))-AVERAGE(OFFSET($H$3,0,0,'Données projet'!$E$17+1,1))</f>
        <v>259.30247982593914</v>
      </c>
      <c r="GF58" s="59">
        <f t="shared" si="50"/>
        <v>275.24740346220779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9.0165065159989268</v>
      </c>
      <c r="GN58" s="21">
        <f>EXP(-LN(2)/2)*GN57+(1-EXP(-LN(2)/2))/(LN(2)/2)*GH58*GK58*VLOOKUP('Données projet'!$B$17,Paramètres!$A$1:$I$89,3,0)*0.475*44/12</f>
        <v>4.9512097053748391E-3</v>
      </c>
      <c r="GO58" s="21">
        <f t="shared" si="27"/>
        <v>9.0214577257043018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5.6</v>
      </c>
      <c r="GU58" s="12">
        <f>IF('Données projet'!$A$270&gt;35,GU57+GT58-HC57,IF(A58&lt;'Données projet'!$A$270,$GR$205^A58,IF(A58='Données projet'!$A$270,'Données projet'!$B$270,GU57+GT58-HC57)))</f>
        <v>229.99999999999972</v>
      </c>
      <c r="GV58" s="17">
        <f>GU58*VLOOKUP('Données projet'!$B$18,Paramètres!$A$1:$I$89,3,0)*VLOOKUP('Données projet'!$B$18,Paramètres!$A$1:$I$89,5,0)</f>
        <v>182.98799999999977</v>
      </c>
      <c r="GW58" s="13">
        <f t="shared" si="51"/>
        <v>45.986322796524796</v>
      </c>
      <c r="GX58" s="20">
        <f t="shared" si="28"/>
        <v>398.79694553728024</v>
      </c>
      <c r="GY58" s="59">
        <f t="shared" si="29"/>
        <v>692.13027887061355</v>
      </c>
      <c r="GZ58" s="59">
        <f ca="1">AVERAGE(OFFSET($GY$3,0,0,'Données projet'!$E$18+1,1))-AVERAGE(OFFSET($H$3,0,0,'Données projet'!$E$18+1,1))</f>
        <v>199.58763537752952</v>
      </c>
      <c r="HA58" s="59">
        <f t="shared" si="52"/>
        <v>242.62852778451929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0</v>
      </c>
      <c r="HH58" s="21">
        <f>EXP(-LN(2)/25)*HH57+(1-EXP(-LN(2)/25))/(LN(2)/25)*Calculateur!HC58*Calculateur!HE58*VLOOKUP('Données projet'!$B$18,Paramètres!$A$1:$I$89,3,0)*0.475*44/12</f>
        <v>5.1414882347059097</v>
      </c>
      <c r="HI58" s="21">
        <f>EXP(-LN(2)/2)*HI57+(1-EXP(-LN(2)/2))/(LN(2)/2)*HC58*HF58*VLOOKUP('Données projet'!$B$18,Paramètres!$A$1:$I$89,3,0)*0.475*44/12</f>
        <v>1.8578053994094297E-3</v>
      </c>
      <c r="HJ58" s="22">
        <f t="shared" si="30"/>
        <v>5.1433460401053193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</v>
      </c>
      <c r="N59" s="13">
        <f>IF('Données projet'!$A$36&gt;35,N58+M59-V58,IF(A59&lt;'Données projet'!$A$36,$K$205^A59,IF(A59='Données projet'!$A$36,'Données projet'!$B$36,N58+M59-V58)))</f>
        <v>203.80000000000013</v>
      </c>
      <c r="O59" s="13">
        <f>N59*VLOOKUP('Données projet'!$B$9,Paramètres!$A$1:$I$89,3,0)*VLOOKUP('Données projet'!$B$9,Paramètres!$A$1:$I$89,5,0)</f>
        <v>184.3982400000001</v>
      </c>
      <c r="P59" s="13">
        <f t="shared" si="33"/>
        <v>46.299334464645959</v>
      </c>
      <c r="Q59" s="20">
        <f t="shared" si="53"/>
        <v>401.79827552592519</v>
      </c>
      <c r="R59" s="59">
        <f t="shared" si="0"/>
        <v>695.13160885925845</v>
      </c>
      <c r="S59" s="59">
        <f ca="1">AVERAGE(OFFSET($R$3,0,0,'Données projet'!$E$9+1,1))-AVERAGE(OFFSET($H$3,0,0,'Données projet'!$E$9+1,1))</f>
        <v>237.22177246688199</v>
      </c>
      <c r="T59" s="59">
        <f t="shared" si="34"/>
        <v>149.27472147904302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1.5105030649144917</v>
      </c>
      <c r="AB59" s="21">
        <f>EXP(-LN(2)/2)*AB58+(1-EXP(-LN(2)/2))/(LN(2)/2)*V59*Y59*VLOOKUP('Données projet'!$B$9,Paramètres!$A$1:$I$89,3,0)*0.475*44/12</f>
        <v>7.5553562676128263E-4</v>
      </c>
      <c r="AC59" s="22">
        <f t="shared" si="3"/>
        <v>1.5112586005412529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7.8</v>
      </c>
      <c r="AI59" s="13">
        <f>IF('Données projet'!$A$62&gt;35,AI58+AH59-AQ58,IF(A59&lt;'Données projet'!$A$62,$AF$205^A59,IF(A59='Données projet'!$A$62,'Données projet'!$B$62,AI58+AH59-AQ58)))</f>
        <v>203.80000000000013</v>
      </c>
      <c r="AJ59" s="13">
        <f>AI59*VLOOKUP('Données projet'!$B$10,Paramètres!$A$1:$I$89,3,0)*VLOOKUP('Données projet'!$B$10,Paramètres!$A$1:$I$89,5,0)</f>
        <v>206.65320000000014</v>
      </c>
      <c r="AK59" s="13">
        <f t="shared" si="35"/>
        <v>51.20354326964263</v>
      </c>
      <c r="AL59" s="20">
        <f t="shared" si="4"/>
        <v>449.10049452796119</v>
      </c>
      <c r="AM59" s="59">
        <f t="shared" si="5"/>
        <v>742.4338278612945</v>
      </c>
      <c r="AN59" s="59">
        <f ca="1">AVERAGE(OFFSET($AM$3,0,0,'Données projet'!$E$10+1,1))-AVERAGE(OFFSET($H$3,0,0,'Données projet'!$E$10+1,1))</f>
        <v>279.20364724206644</v>
      </c>
      <c r="AO59" s="59">
        <f t="shared" si="36"/>
        <v>173.99850582760712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1.6928051589558959</v>
      </c>
      <c r="AW59" s="21">
        <f>EXP(-LN(2)/2)*AW58+(1-EXP(-LN(2)/2))/(LN(2)/2)*AQ59*AT59*VLOOKUP('Données projet'!$B$10,Paramètres!$A$1:$I$89,3,0)*0.475*44/12</f>
        <v>8.4672096102557522E-4</v>
      </c>
      <c r="AX59" s="21">
        <f t="shared" si="6"/>
        <v>1.6936518799169216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13.499999999999996</v>
      </c>
      <c r="BD59" s="12">
        <f>IF('Données projet'!$A$88&gt;35,BD58+BC59-BL58,IF(A59&lt;'Données projet'!$A$88,$BA$205^A59,IF(A59='Données projet'!$A$88,'Données projet'!$B$88,BD58+BC59-BL58)))</f>
        <v>320.79999999999984</v>
      </c>
      <c r="BE59" s="13">
        <f>BD59*VLOOKUP('Données projet'!$B$11,Paramètres!$A$1:$I$89,3,0)*VLOOKUP('Données projet'!$B$11,Paramètres!$A$1:$I$89,5,0)</f>
        <v>150.13439999999994</v>
      </c>
      <c r="BF59" s="13">
        <f t="shared" si="37"/>
        <v>38.609126910934812</v>
      </c>
      <c r="BG59" s="20">
        <f t="shared" si="7"/>
        <v>328.72830936987799</v>
      </c>
      <c r="BH59" s="59">
        <f t="shared" si="8"/>
        <v>622.06164270321131</v>
      </c>
      <c r="BI59" s="59">
        <f ca="1">AVERAGE(OFFSET($BH$3,0,0,'Données projet'!$E$11+1,1))-AVERAGE(OFFSET($H$3,0,0,'Données projet'!$E$11+1,1))</f>
        <v>215.23235148064941</v>
      </c>
      <c r="BJ59" s="59">
        <f t="shared" si="38"/>
        <v>184.07239726900434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1.8730841880758438</v>
      </c>
      <c r="BQ59" s="21">
        <f>EXP(-LN(2)/25)*BQ58+(1-EXP(-LN(2)/25))/(LN(2)/25)*Calculateur!BL59*Calculateur!BN59*VLOOKUP('Données projet'!$B$11,Paramètres!$A$1:$I$89,3,0)*0.475*44/12</f>
        <v>3.8203281340661834</v>
      </c>
      <c r="BR59" s="21">
        <f>EXP(-LN(2)/2)*BR58+(1-EXP(-LN(2)/2))/(LN(2)/2)*BL59*BO59*VLOOKUP('Données projet'!$B$11,Paramètres!$A$1:$I$89,3,0)*0.475*44/12</f>
        <v>1.2002168555048818E-3</v>
      </c>
      <c r="BS59" s="22">
        <f t="shared" si="9"/>
        <v>5.6946125389975322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7.8</v>
      </c>
      <c r="BY59" s="12">
        <f>IF('Données projet'!$A$114&gt;35,BY58+BX59-CG58,IF(A59&lt;'Données projet'!$A$114,$BV$205^A59,IF(A59='Données projet'!$A$114,'Données projet'!$B$114,BY58+BX59-CG58)))</f>
        <v>203.80000000000013</v>
      </c>
      <c r="BZ59" s="13">
        <f>BY59*VLOOKUP('Données projet'!$B$12,Paramètres!$A$1:$I$89,3,0)*VLOOKUP('Données projet'!$B$12,Paramètres!$A$1:$I$89,5,0)</f>
        <v>219.37032000000011</v>
      </c>
      <c r="CA59" s="13">
        <f t="shared" si="39"/>
        <v>53.978005061764598</v>
      </c>
      <c r="CB59" s="20">
        <f t="shared" si="10"/>
        <v>476.08166614924016</v>
      </c>
      <c r="CC59" s="59">
        <f t="shared" si="11"/>
        <v>769.41499948257342</v>
      </c>
      <c r="CD59" s="59">
        <f ca="1">AVERAGE(OFFSET($CC$3,0,0,'Données projet'!$E$12+1,1))-AVERAGE(OFFSET($H$3,0,0,'Données projet'!$E$12+1,1))</f>
        <v>303.1504619632214</v>
      </c>
      <c r="CE59" s="59">
        <f t="shared" si="40"/>
        <v>188.09929616366503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1.7969777841224124</v>
      </c>
      <c r="CM59" s="21">
        <f>EXP(-LN(2)/2)*CM58+(1-EXP(-LN(2)/2))/(LN(2)/2)*CG59*CJ59*VLOOKUP('Données projet'!$B$12,Paramètres!$A$1:$I$89,3,0)*0.475*44/12</f>
        <v>8.9882686631945847E-4</v>
      </c>
      <c r="CN59" s="22">
        <f t="shared" si="12"/>
        <v>1.7978766109887319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5.6</v>
      </c>
      <c r="CT59" s="12">
        <f>IF('Données projet'!$A$140&gt;35,CT58+CS59-DB58,IF(A59&lt;'Données projet'!$A$140,$CQ$205^A59,IF(A59='Données projet'!$A$140,'Données projet'!$B$140,CT58+CS59-DB58)))</f>
        <v>235.59999999999971</v>
      </c>
      <c r="CU59" s="17">
        <f>CT59*VLOOKUP('Données projet'!$B$13,Paramètres!$A$1:$I$89,3,0)*VLOOKUP('Données projet'!$B$13,Paramètres!$A$1:$I$89,5,0)</f>
        <v>158.0404799999998</v>
      </c>
      <c r="CV59" s="13">
        <f t="shared" si="41"/>
        <v>40.400223726842633</v>
      </c>
      <c r="CW59" s="20">
        <f t="shared" si="13"/>
        <v>345.61755899091719</v>
      </c>
      <c r="CX59" s="59">
        <f t="shared" si="14"/>
        <v>638.9508923242505</v>
      </c>
      <c r="CY59" s="59">
        <f ca="1">AVERAGE(OFFSET($CX$3,0,0,'Données projet'!$E$13+1,1))-AVERAGE(OFFSET($H$3,0,0,'Données projet'!$E$13+1,1))</f>
        <v>156.63226020379989</v>
      </c>
      <c r="CZ59" s="59">
        <f t="shared" si="42"/>
        <v>196.0481096619543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4.2164400126979773</v>
      </c>
      <c r="DH59" s="21">
        <f>EXP(-LN(2)/2)*DH58+(1-EXP(-LN(2)/2))/(LN(2)/2)*DB59*DE59*VLOOKUP('Données projet'!$B$13,Paramètres!$A$1:$I$89,3,0)*0.475*44/12</f>
        <v>1.1076014162752495E-3</v>
      </c>
      <c r="DI59" s="22">
        <f t="shared" si="15"/>
        <v>4.2175476141142525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-8.5265128291212022E-14</v>
      </c>
      <c r="DP59" s="17">
        <f>DO59*VLOOKUP('Données projet'!$B$14,Paramètres!$A$1:$I$89,3,0)*VLOOKUP('Données projet'!$B$14,Paramètres!$A$1:$I$89,5,0)</f>
        <v>-7.7147888077888636E-14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225.28075317732998</v>
      </c>
      <c r="DU59" s="59">
        <f t="shared" si="44"/>
        <v>358.43407531256207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1.3406285186467859</v>
      </c>
      <c r="EB59" s="21">
        <f>EXP(-LN(2)/25)*EB58+(1-EXP(-LN(2)/25))/(LN(2)/25)*Calculateur!DW59*Calculateur!DY59*VLOOKUP('Données projet'!$B$14,Paramètres!$A$1:$I$89,3,0)*0.475*44/12</f>
        <v>4.022928427568198</v>
      </c>
      <c r="EC59" s="21">
        <f>EXP(-LN(2)/2)*EC58+(1-EXP(-LN(2)/2))/(LN(2)/2)*DW59*DZ59*VLOOKUP('Données projet'!$B$14,Paramètres!$A$1:$I$89,3,0)*0.475*44/12</f>
        <v>5.3882093688592818E-4</v>
      </c>
      <c r="ED59" s="22">
        <f t="shared" si="18"/>
        <v>5.3640957671518699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16.2</v>
      </c>
      <c r="EJ59" s="12">
        <f>IF('Données projet'!$A$192&gt;35,EJ58+EI59-ER58,IF(A59&lt;'Données projet'!$A$192,$EG$205^A59,IF(A59='Données projet'!$A$192,'Données projet'!$B$192,EJ58+EI59-ER58)))</f>
        <v>498.19999999999976</v>
      </c>
      <c r="EK59" s="17">
        <f>EJ59*VLOOKUP('Données projet'!$B$15,Paramètres!$A$1:$I$89,3,0)*VLOOKUP('Données projet'!$B$15,Paramètres!$A$1:$I$89,5,0)</f>
        <v>278.49379999999985</v>
      </c>
      <c r="EL59" s="13">
        <f t="shared" si="45"/>
        <v>66.648605670285122</v>
      </c>
      <c r="EM59" s="20">
        <f t="shared" si="19"/>
        <v>601.12302320907963</v>
      </c>
      <c r="EN59" s="59">
        <f t="shared" si="20"/>
        <v>894.456356542413</v>
      </c>
      <c r="EO59" s="59">
        <f ca="1">AVERAGE(OFFSET($EN$3,0,0,'Données projet'!$E$15+1,1))-AVERAGE(OFFSET($H$3,0,0,'Données projet'!$E$15+1,1))</f>
        <v>326.31232746914907</v>
      </c>
      <c r="EP59" s="59">
        <f t="shared" si="46"/>
        <v>330.17137761430297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2.7295973885782101</v>
      </c>
      <c r="EW59" s="21">
        <f>EXP(-LN(2)/25)*EW58+(1-EXP(-LN(2)/25))/(LN(2)/25)*Calculateur!ER59*Calculateur!ET59*VLOOKUP('Données projet'!$B$15,Paramètres!$A$1:$I$89,3,0)*0.475*44/12</f>
        <v>14.673933705703107</v>
      </c>
      <c r="EX59" s="21">
        <f>EXP(-LN(2)/2)*EX58+(1-EXP(-LN(2)/2))/(LN(2)/2)*ER59*EU59*VLOOKUP('Données projet'!$B$15,Paramètres!$A$1:$I$89,3,0)*0.475*44/12</f>
        <v>3.9699814905316457E-3</v>
      </c>
      <c r="EY59" s="22">
        <f t="shared" si="21"/>
        <v>17.407501075771847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10</v>
      </c>
      <c r="FE59" s="12">
        <f>IF('Données projet'!$A$218&gt;35,FE58+FD59-FM58,IF(A59&lt;'Données projet'!$A$218,$FB$205^A59,IF(A59='Données projet'!$A$218,'Données projet'!$B$218,FE58+FD59-FM58)))</f>
        <v>363.99999999999989</v>
      </c>
      <c r="FF59" s="17">
        <f>FE59*VLOOKUP('Données projet'!$B$16,Paramètres!$A$1:$I$89,3,0)*VLOOKUP('Données projet'!$B$16,Paramètres!$A$1:$I$89,5,0)</f>
        <v>227.13599999999994</v>
      </c>
      <c r="FG59" s="13">
        <f t="shared" si="47"/>
        <v>55.662966886685133</v>
      </c>
      <c r="FH59" s="20">
        <f t="shared" si="22"/>
        <v>492.54153399430987</v>
      </c>
      <c r="FI59" s="59">
        <f t="shared" si="23"/>
        <v>785.87486732764319</v>
      </c>
      <c r="FJ59" s="59">
        <f ca="1">AVERAGE(OFFSET($FI$3,0,0,'Données projet'!$E$16+1,1))-AVERAGE(OFFSET($H$3,0,0,'Données projet'!$E$16+1,1))</f>
        <v>255.41017495879987</v>
      </c>
      <c r="FK59" s="59">
        <f t="shared" si="48"/>
        <v>297.50513563712764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4.9859876188828158</v>
      </c>
      <c r="FR59" s="21">
        <f>EXP(-LN(2)/25)*FR58+(1-EXP(-LN(2)/25))/(LN(2)/25)*Calculateur!FM59*Calculateur!FO59*VLOOKUP('Données projet'!$B$16,Paramètres!$A$1:$I$89,3,0)*0.475*44/12</f>
        <v>13.553882355860331</v>
      </c>
      <c r="FS59" s="21">
        <f>EXP(-LN(2)/2)*FS58+(1-EXP(-LN(2)/2))/(LN(2)/2)*FM59*FP59*VLOOKUP('Données projet'!$B$16,Paramètres!$A$1:$I$89,3,0)*0.475*44/12</f>
        <v>2.9786610274550635E-3</v>
      </c>
      <c r="FT59" s="22">
        <f t="shared" si="24"/>
        <v>18.542848635770603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12.8</v>
      </c>
      <c r="FZ59" s="12">
        <f>IF('Données projet'!$A$244&gt;35,FZ58+FY59-GH58,IF(A59&lt;'Données projet'!$A$244,$FW$205^A59,IF(A59='Données projet'!$A$244,'Données projet'!$B$244,FZ58+FY59-GH58)))</f>
        <v>395.80000000000024</v>
      </c>
      <c r="GA59" s="17">
        <f>FZ59*VLOOKUP('Données projet'!$B$17,Paramètres!$A$1:$I$89,3,0)*VLOOKUP('Données projet'!$B$17,Paramètres!$A$1:$I$89,5,0)</f>
        <v>236.68840000000017</v>
      </c>
      <c r="GB59" s="13">
        <f t="shared" si="49"/>
        <v>57.726448462488456</v>
      </c>
      <c r="GC59" s="20">
        <f t="shared" si="25"/>
        <v>512.77252773883436</v>
      </c>
      <c r="GD59" s="59">
        <f t="shared" si="26"/>
        <v>806.10586107216773</v>
      </c>
      <c r="GE59" s="59">
        <f ca="1">AVERAGE(OFFSET($GD$3,0,0,'Données projet'!$E$17+1,1))-AVERAGE(OFFSET($H$3,0,0,'Données projet'!$E$17+1,1))</f>
        <v>259.30247982593914</v>
      </c>
      <c r="GF59" s="59">
        <f t="shared" si="50"/>
        <v>275.24740346220779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8.7699496711614664</v>
      </c>
      <c r="GN59" s="21">
        <f>EXP(-LN(2)/2)*GN58+(1-EXP(-LN(2)/2))/(LN(2)/2)*GH59*GK59*VLOOKUP('Données projet'!$B$17,Paramètres!$A$1:$I$89,3,0)*0.475*44/12</f>
        <v>3.5010339577471968E-3</v>
      </c>
      <c r="GO59" s="21">
        <f t="shared" si="27"/>
        <v>8.7734507051192132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5.6</v>
      </c>
      <c r="GU59" s="12">
        <f>IF('Données projet'!$A$270&gt;35,GU58+GT59-HC58,IF(A59&lt;'Données projet'!$A$270,$GR$205^A59,IF(A59='Données projet'!$A$270,'Données projet'!$B$270,GU58+GT59-HC58)))</f>
        <v>235.59999999999971</v>
      </c>
      <c r="GV59" s="17">
        <f>GU59*VLOOKUP('Données projet'!$B$18,Paramètres!$A$1:$I$89,3,0)*VLOOKUP('Données projet'!$B$18,Paramètres!$A$1:$I$89,5,0)</f>
        <v>187.44335999999979</v>
      </c>
      <c r="GW59" s="13">
        <f t="shared" si="51"/>
        <v>46.974271155353591</v>
      </c>
      <c r="GX59" s="20">
        <f t="shared" si="28"/>
        <v>408.27737426224047</v>
      </c>
      <c r="GY59" s="59">
        <f t="shared" si="29"/>
        <v>701.61070759557379</v>
      </c>
      <c r="GZ59" s="59">
        <f ca="1">AVERAGE(OFFSET($GY$3,0,0,'Données projet'!$E$18+1,1))-AVERAGE(OFFSET($H$3,0,0,'Données projet'!$E$18+1,1))</f>
        <v>199.58763537752952</v>
      </c>
      <c r="HA59" s="59">
        <f t="shared" si="52"/>
        <v>242.62852778451929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0</v>
      </c>
      <c r="HH59" s="21">
        <f>EXP(-LN(2)/25)*HH58+(1-EXP(-LN(2)/25))/(LN(2)/25)*Calculateur!HC59*Calculateur!HE59*VLOOKUP('Données projet'!$B$18,Paramètres!$A$1:$I$89,3,0)*0.475*44/12</f>
        <v>5.0008939685487617</v>
      </c>
      <c r="HI59" s="21">
        <f>EXP(-LN(2)/2)*HI58+(1-EXP(-LN(2)/2))/(LN(2)/2)*HC59*HF59*VLOOKUP('Données projet'!$B$18,Paramètres!$A$1:$I$89,3,0)*0.475*44/12</f>
        <v>1.3136667960473901E-3</v>
      </c>
      <c r="HJ59" s="22">
        <f t="shared" si="30"/>
        <v>5.0022076353448091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</v>
      </c>
      <c r="N60" s="13">
        <f>IF('Données projet'!$A$36&gt;35,N59+M60-V59,IF(A60&lt;'Données projet'!$A$36,$K$205^A60,IF(A60='Données projet'!$A$36,'Données projet'!$B$36,N59+M60-V59)))</f>
        <v>211.60000000000014</v>
      </c>
      <c r="O60" s="13">
        <f>N60*VLOOKUP('Données projet'!$B$9,Paramètres!$A$1:$I$89,3,0)*VLOOKUP('Données projet'!$B$9,Paramètres!$A$1:$I$89,5,0)</f>
        <v>191.45568000000011</v>
      </c>
      <c r="P60" s="13">
        <f t="shared" si="33"/>
        <v>47.861639935303188</v>
      </c>
      <c r="Q60" s="20">
        <f t="shared" si="53"/>
        <v>416.81099888731995</v>
      </c>
      <c r="R60" s="59">
        <f t="shared" si="0"/>
        <v>710.14433222065327</v>
      </c>
      <c r="S60" s="59">
        <f ca="1">AVERAGE(OFFSET($R$3,0,0,'Données projet'!$E$9+1,1))-AVERAGE(OFFSET($H$3,0,0,'Données projet'!$E$9+1,1))</f>
        <v>237.22177246688199</v>
      </c>
      <c r="T60" s="59">
        <f t="shared" si="34"/>
        <v>149.27472147904302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1.4691982791705009</v>
      </c>
      <c r="AB60" s="21">
        <f>EXP(-LN(2)/2)*AB59+(1-EXP(-LN(2)/2))/(LN(2)/2)*V60*Y60*VLOOKUP('Données projet'!$B$9,Paramètres!$A$1:$I$89,3,0)*0.475*44/12</f>
        <v>5.3424436511093131E-4</v>
      </c>
      <c r="AC60" s="22">
        <f t="shared" si="3"/>
        <v>1.4697325235356118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7.8</v>
      </c>
      <c r="AI60" s="13">
        <f>IF('Données projet'!$A$62&gt;35,AI59+AH60-AQ59,IF(A60&lt;'Données projet'!$A$62,$AF$205^A60,IF(A60='Données projet'!$A$62,'Données projet'!$B$62,AI59+AH60-AQ59)))</f>
        <v>211.60000000000014</v>
      </c>
      <c r="AJ60" s="13">
        <f>AI60*VLOOKUP('Données projet'!$B$10,Paramètres!$A$1:$I$89,3,0)*VLOOKUP('Données projet'!$B$10,Paramètres!$A$1:$I$89,5,0)</f>
        <v>214.56240000000017</v>
      </c>
      <c r="AK60" s="13">
        <f t="shared" si="35"/>
        <v>52.931334320900255</v>
      </c>
      <c r="AL60" s="20">
        <f t="shared" si="4"/>
        <v>465.88492060890161</v>
      </c>
      <c r="AM60" s="59">
        <f t="shared" si="5"/>
        <v>759.21825394223492</v>
      </c>
      <c r="AN60" s="59">
        <f ca="1">AVERAGE(OFFSET($AM$3,0,0,'Données projet'!$E$10+1,1))-AVERAGE(OFFSET($H$3,0,0,'Données projet'!$E$10+1,1))</f>
        <v>279.20364724206644</v>
      </c>
      <c r="AO60" s="59">
        <f t="shared" si="36"/>
        <v>173.99850582760712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1.6465153128634926</v>
      </c>
      <c r="AW60" s="21">
        <f>EXP(-LN(2)/2)*AW59+(1-EXP(-LN(2)/2))/(LN(2)/2)*AQ60*AT60*VLOOKUP('Données projet'!$B$10,Paramètres!$A$1:$I$89,3,0)*0.475*44/12</f>
        <v>5.9872213331397465E-4</v>
      </c>
      <c r="AX60" s="21">
        <f t="shared" si="6"/>
        <v>1.6471140349968065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13.499999999999996</v>
      </c>
      <c r="BD60" s="12">
        <f>IF('Données projet'!$A$88&gt;35,BD59+BC60-BL59,IF(A60&lt;'Données projet'!$A$88,$BA$205^A60,IF(A60='Données projet'!$A$88,'Données projet'!$B$88,BD59+BC60-BL59)))</f>
        <v>334.29999999999984</v>
      </c>
      <c r="BE60" s="13">
        <f>BD60*VLOOKUP('Données projet'!$B$11,Paramètres!$A$1:$I$89,3,0)*VLOOKUP('Données projet'!$B$11,Paramètres!$A$1:$I$89,5,0)</f>
        <v>156.45239999999993</v>
      </c>
      <c r="BF60" s="13">
        <f t="shared" si="37"/>
        <v>40.041303130551007</v>
      </c>
      <c r="BG60" s="20">
        <f t="shared" si="7"/>
        <v>342.2265329523762</v>
      </c>
      <c r="BH60" s="59">
        <f t="shared" si="8"/>
        <v>635.55986628570952</v>
      </c>
      <c r="BI60" s="59">
        <f ca="1">AVERAGE(OFFSET($BH$3,0,0,'Données projet'!$E$11+1,1))-AVERAGE(OFFSET($H$3,0,0,'Données projet'!$E$11+1,1))</f>
        <v>215.23235148064941</v>
      </c>
      <c r="BJ60" s="59">
        <f t="shared" si="38"/>
        <v>184.07239726900434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1.8363541496162219</v>
      </c>
      <c r="BQ60" s="21">
        <f>EXP(-LN(2)/25)*BQ59+(1-EXP(-LN(2)/25))/(LN(2)/25)*Calculateur!BL60*Calculateur!BN60*VLOOKUP('Données projet'!$B$11,Paramètres!$A$1:$I$89,3,0)*0.475*44/12</f>
        <v>3.7158610603378186</v>
      </c>
      <c r="BR60" s="21">
        <f>EXP(-LN(2)/2)*BR59+(1-EXP(-LN(2)/2))/(LN(2)/2)*BL60*BO60*VLOOKUP('Données projet'!$B$11,Paramètres!$A$1:$I$89,3,0)*0.475*44/12</f>
        <v>8.4868147742189661E-4</v>
      </c>
      <c r="BS60" s="22">
        <f t="shared" si="9"/>
        <v>5.5530638914314618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7.8</v>
      </c>
      <c r="BY60" s="12">
        <f>IF('Données projet'!$A$114&gt;35,BY59+BX60-CG59,IF(A60&lt;'Données projet'!$A$114,$BV$205^A60,IF(A60='Données projet'!$A$114,'Données projet'!$B$114,BY59+BX60-CG59)))</f>
        <v>211.60000000000014</v>
      </c>
      <c r="BZ60" s="13">
        <f>BY60*VLOOKUP('Données projet'!$B$12,Paramètres!$A$1:$I$89,3,0)*VLOOKUP('Données projet'!$B$12,Paramètres!$A$1:$I$89,5,0)</f>
        <v>227.76624000000012</v>
      </c>
      <c r="CA60" s="13">
        <f t="shared" si="39"/>
        <v>55.799416396900632</v>
      </c>
      <c r="CB60" s="20">
        <f t="shared" si="10"/>
        <v>493.87685155793548</v>
      </c>
      <c r="CC60" s="59">
        <f t="shared" si="11"/>
        <v>787.2101848912688</v>
      </c>
      <c r="CD60" s="59">
        <f ca="1">AVERAGE(OFFSET($CC$3,0,0,'Données projet'!$E$12+1,1))-AVERAGE(OFFSET($H$3,0,0,'Données projet'!$E$12+1,1))</f>
        <v>303.1504619632214</v>
      </c>
      <c r="CE60" s="59">
        <f t="shared" si="40"/>
        <v>188.09929616366503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1.7478393321166303</v>
      </c>
      <c r="CM60" s="21">
        <f>EXP(-LN(2)/2)*CM59+(1-EXP(-LN(2)/2))/(LN(2)/2)*CG60*CJ60*VLOOKUP('Données projet'!$B$12,Paramètres!$A$1:$I$89,3,0)*0.475*44/12</f>
        <v>6.3556657228714352E-4</v>
      </c>
      <c r="CN60" s="22">
        <f t="shared" si="12"/>
        <v>1.7484748986889176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5.6</v>
      </c>
      <c r="CT60" s="12">
        <f>IF('Données projet'!$A$140&gt;35,CT59+CS60-DB59,IF(A60&lt;'Données projet'!$A$140,$CQ$205^A60,IF(A60='Données projet'!$A$140,'Données projet'!$B$140,CT59+CS60-DB59)))</f>
        <v>241.1999999999997</v>
      </c>
      <c r="CU60" s="17">
        <f>CT60*VLOOKUP('Données projet'!$B$13,Paramètres!$A$1:$I$89,3,0)*VLOOKUP('Données projet'!$B$13,Paramètres!$A$1:$I$89,5,0)</f>
        <v>161.79695999999979</v>
      </c>
      <c r="CV60" s="13">
        <f t="shared" si="41"/>
        <v>41.247560923222927</v>
      </c>
      <c r="CW60" s="20">
        <f t="shared" si="13"/>
        <v>353.6358739412795</v>
      </c>
      <c r="CX60" s="59">
        <f t="shared" si="14"/>
        <v>646.96920727461281</v>
      </c>
      <c r="CY60" s="59">
        <f ca="1">AVERAGE(OFFSET($CX$3,0,0,'Données projet'!$E$13+1,1))-AVERAGE(OFFSET($H$3,0,0,'Données projet'!$E$13+1,1))</f>
        <v>156.63226020379989</v>
      </c>
      <c r="CZ60" s="59">
        <f t="shared" si="42"/>
        <v>196.0481096619543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4.1011412388178075</v>
      </c>
      <c r="DH60" s="21">
        <f>EXP(-LN(2)/2)*DH59+(1-EXP(-LN(2)/2))/(LN(2)/2)*DB60*DE60*VLOOKUP('Données projet'!$B$13,Paramètres!$A$1:$I$89,3,0)*0.475*44/12</f>
        <v>7.8319247230005295E-4</v>
      </c>
      <c r="DI60" s="22">
        <f t="shared" si="15"/>
        <v>4.1019244312901071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-8.5265128291212022E-14</v>
      </c>
      <c r="DP60" s="17">
        <f>DO60*VLOOKUP('Données projet'!$B$14,Paramètres!$A$1:$I$89,3,0)*VLOOKUP('Données projet'!$B$14,Paramètres!$A$1:$I$89,5,0)</f>
        <v>-7.7147888077888636E-14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225.28075317732998</v>
      </c>
      <c r="DU60" s="59">
        <f t="shared" si="44"/>
        <v>358.43407531256207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1.3143396110987773</v>
      </c>
      <c r="EB60" s="21">
        <f>EXP(-LN(2)/25)*EB59+(1-EXP(-LN(2)/25))/(LN(2)/25)*Calculateur!DW60*Calculateur!DY60*VLOOKUP('Données projet'!$B$14,Paramètres!$A$1:$I$89,3,0)*0.475*44/12</f>
        <v>3.912921238159734</v>
      </c>
      <c r="EC60" s="21">
        <f>EXP(-LN(2)/2)*EC59+(1-EXP(-LN(2)/2))/(LN(2)/2)*DW60*DZ60*VLOOKUP('Données projet'!$B$14,Paramètres!$A$1:$I$89,3,0)*0.475*44/12</f>
        <v>3.8100393831732855E-4</v>
      </c>
      <c r="ED60" s="22">
        <f t="shared" si="18"/>
        <v>5.2276418531968289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16.2</v>
      </c>
      <c r="EJ60" s="12">
        <f>IF('Données projet'!$A$192&gt;35,EJ59+EI60-ER59,IF(A60&lt;'Données projet'!$A$192,$EG$205^A60,IF(A60='Données projet'!$A$192,'Données projet'!$B$192,EJ59+EI60-ER59)))</f>
        <v>514.39999999999975</v>
      </c>
      <c r="EK60" s="17">
        <f>EJ60*VLOOKUP('Données projet'!$B$15,Paramètres!$A$1:$I$89,3,0)*VLOOKUP('Données projet'!$B$15,Paramètres!$A$1:$I$89,5,0)</f>
        <v>287.54959999999988</v>
      </c>
      <c r="EL60" s="13">
        <f t="shared" si="45"/>
        <v>68.559977517591122</v>
      </c>
      <c r="EM60" s="20">
        <f t="shared" si="19"/>
        <v>620.22418084313767</v>
      </c>
      <c r="EN60" s="59">
        <f t="shared" si="20"/>
        <v>913.55751417647093</v>
      </c>
      <c r="EO60" s="59">
        <f ca="1">AVERAGE(OFFSET($EN$3,0,0,'Données projet'!$E$15+1,1))-AVERAGE(OFFSET($H$3,0,0,'Données projet'!$E$15+1,1))</f>
        <v>326.31232746914907</v>
      </c>
      <c r="EP60" s="59">
        <f t="shared" si="46"/>
        <v>330.17137761430297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2.6760716486782044</v>
      </c>
      <c r="EW60" s="21">
        <f>EXP(-LN(2)/25)*EW59+(1-EXP(-LN(2)/25))/(LN(2)/25)*Calculateur!ER60*Calculateur!ET60*VLOOKUP('Données projet'!$B$15,Paramètres!$A$1:$I$89,3,0)*0.475*44/12</f>
        <v>14.272674216852019</v>
      </c>
      <c r="EX60" s="21">
        <f>EXP(-LN(2)/2)*EX59+(1-EXP(-LN(2)/2))/(LN(2)/2)*ER60*EU60*VLOOKUP('Données projet'!$B$15,Paramètres!$A$1:$I$89,3,0)*0.475*44/12</f>
        <v>2.8072008331400042E-3</v>
      </c>
      <c r="EY60" s="22">
        <f t="shared" si="21"/>
        <v>16.951553066363363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10</v>
      </c>
      <c r="FE60" s="12">
        <f>IF('Données projet'!$A$218&gt;35,FE59+FD60-FM59,IF(A60&lt;'Données projet'!$A$218,$FB$205^A60,IF(A60='Données projet'!$A$218,'Données projet'!$B$218,FE59+FD60-FM59)))</f>
        <v>373.99999999999989</v>
      </c>
      <c r="FF60" s="17">
        <f>FE60*VLOOKUP('Données projet'!$B$16,Paramètres!$A$1:$I$89,3,0)*VLOOKUP('Données projet'!$B$16,Paramètres!$A$1:$I$89,5,0)</f>
        <v>233.37599999999992</v>
      </c>
      <c r="FG60" s="13">
        <f t="shared" si="47"/>
        <v>57.012031446990107</v>
      </c>
      <c r="FH60" s="20">
        <f t="shared" si="22"/>
        <v>505.75915477017423</v>
      </c>
      <c r="FI60" s="59">
        <f t="shared" si="23"/>
        <v>799.09248810350755</v>
      </c>
      <c r="FJ60" s="59">
        <f ca="1">AVERAGE(OFFSET($FI$3,0,0,'Données projet'!$E$16+1,1))-AVERAGE(OFFSET($H$3,0,0,'Données projet'!$E$16+1,1))</f>
        <v>255.41017495879987</v>
      </c>
      <c r="FK60" s="59">
        <f t="shared" si="48"/>
        <v>297.50513563712764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4.8882154428286828</v>
      </c>
      <c r="FR60" s="21">
        <f>EXP(-LN(2)/25)*FR59+(1-EXP(-LN(2)/25))/(LN(2)/25)*Calculateur!FM60*Calculateur!FO60*VLOOKUP('Données projet'!$B$16,Paramètres!$A$1:$I$89,3,0)*0.475*44/12</f>
        <v>13.183250730071634</v>
      </c>
      <c r="FS60" s="21">
        <f>EXP(-LN(2)/2)*FS59+(1-EXP(-LN(2)/2))/(LN(2)/2)*FM60*FP60*VLOOKUP('Données projet'!$B$16,Paramètres!$A$1:$I$89,3,0)*0.475*44/12</f>
        <v>2.1062314113695644E-3</v>
      </c>
      <c r="FT60" s="22">
        <f t="shared" si="24"/>
        <v>18.073572404311683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12.8</v>
      </c>
      <c r="FZ60" s="12">
        <f>IF('Données projet'!$A$244&gt;35,FZ59+FY60-GH59,IF(A60&lt;'Données projet'!$A$244,$FW$205^A60,IF(A60='Données projet'!$A$244,'Données projet'!$B$244,FZ59+FY60-GH59)))</f>
        <v>408.60000000000025</v>
      </c>
      <c r="GA60" s="17">
        <f>FZ60*VLOOKUP('Données projet'!$B$17,Paramètres!$A$1:$I$89,3,0)*VLOOKUP('Données projet'!$B$17,Paramètres!$A$1:$I$89,5,0)</f>
        <v>244.34280000000018</v>
      </c>
      <c r="GB60" s="13">
        <f t="shared" si="49"/>
        <v>59.372927604128122</v>
      </c>
      <c r="GC60" s="20">
        <f t="shared" si="25"/>
        <v>528.97155891052341</v>
      </c>
      <c r="GD60" s="59">
        <f t="shared" si="26"/>
        <v>822.30489224385678</v>
      </c>
      <c r="GE60" s="59">
        <f ca="1">AVERAGE(OFFSET($GD$3,0,0,'Données projet'!$E$17+1,1))-AVERAGE(OFFSET($H$3,0,0,'Données projet'!$E$17+1,1))</f>
        <v>259.30247982593914</v>
      </c>
      <c r="GF60" s="59">
        <f t="shared" si="50"/>
        <v>275.24740346220779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8.5301349362119474</v>
      </c>
      <c r="GN60" s="21">
        <f>EXP(-LN(2)/2)*GN59+(1-EXP(-LN(2)/2))/(LN(2)/2)*GH60*GK60*VLOOKUP('Données projet'!$B$17,Paramètres!$A$1:$I$89,3,0)*0.475*44/12</f>
        <v>2.4756048526874195E-3</v>
      </c>
      <c r="GO60" s="21">
        <f t="shared" si="27"/>
        <v>8.5326105410646349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5.6</v>
      </c>
      <c r="GU60" s="12">
        <f>IF('Données projet'!$A$270&gt;35,GU59+GT60-HC59,IF(A60&lt;'Données projet'!$A$270,$GR$205^A60,IF(A60='Données projet'!$A$270,'Données projet'!$B$270,GU59+GT60-HC59)))</f>
        <v>241.1999999999997</v>
      </c>
      <c r="GV60" s="17">
        <f>GU60*VLOOKUP('Données projet'!$B$18,Paramètres!$A$1:$I$89,3,0)*VLOOKUP('Données projet'!$B$18,Paramètres!$A$1:$I$89,5,0)</f>
        <v>191.8987199999998</v>
      </c>
      <c r="GW60" s="13">
        <f t="shared" si="51"/>
        <v>47.959489640575512</v>
      </c>
      <c r="GX60" s="20">
        <f t="shared" si="28"/>
        <v>417.7530484573353</v>
      </c>
      <c r="GY60" s="59">
        <f t="shared" si="29"/>
        <v>711.08638179066861</v>
      </c>
      <c r="GZ60" s="59">
        <f ca="1">AVERAGE(OFFSET($GY$3,0,0,'Données projet'!$E$18+1,1))-AVERAGE(OFFSET($H$3,0,0,'Données projet'!$E$18+1,1))</f>
        <v>199.58763537752952</v>
      </c>
      <c r="HA60" s="59">
        <f t="shared" si="52"/>
        <v>242.62852778451929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0</v>
      </c>
      <c r="HH60" s="21">
        <f>EXP(-LN(2)/25)*HH59+(1-EXP(-LN(2)/25))/(LN(2)/25)*Calculateur!HC60*Calculateur!HE60*VLOOKUP('Données projet'!$B$18,Paramètres!$A$1:$I$89,3,0)*0.475*44/12</f>
        <v>4.8641442599932114</v>
      </c>
      <c r="HI60" s="21">
        <f>EXP(-LN(2)/2)*HI59+(1-EXP(-LN(2)/2))/(LN(2)/2)*HC60*HF60*VLOOKUP('Données projet'!$B$18,Paramètres!$A$1:$I$89,3,0)*0.475*44/12</f>
        <v>9.2890269970471485E-4</v>
      </c>
      <c r="HJ60" s="22">
        <f t="shared" si="30"/>
        <v>4.8650731626929158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</v>
      </c>
      <c r="N61" s="13">
        <f>IF('Données projet'!$A$36&gt;35,N60+M61-V60,IF(A61&lt;'Données projet'!$A$36,$K$205^A61,IF(A61='Données projet'!$A$36,'Données projet'!$B$36,N60+M61-V60)))</f>
        <v>219.40000000000015</v>
      </c>
      <c r="O61" s="13">
        <f>N61*VLOOKUP('Données projet'!$B$9,Paramètres!$A$1:$I$89,3,0)*VLOOKUP('Données projet'!$B$9,Paramètres!$A$1:$I$89,5,0)</f>
        <v>198.51312000000013</v>
      </c>
      <c r="P61" s="13">
        <f t="shared" si="33"/>
        <v>49.417254724004458</v>
      </c>
      <c r="Q61" s="20">
        <f t="shared" si="53"/>
        <v>431.81206931097466</v>
      </c>
      <c r="R61" s="59">
        <f t="shared" si="0"/>
        <v>725.14540264430798</v>
      </c>
      <c r="S61" s="59">
        <f ca="1">AVERAGE(OFFSET($R$3,0,0,'Données projet'!$E$9+1,1))-AVERAGE(OFFSET($H$3,0,0,'Données projet'!$E$9+1,1))</f>
        <v>237.22177246688199</v>
      </c>
      <c r="T61" s="59">
        <f t="shared" si="34"/>
        <v>149.27472147904302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1.429022974964804</v>
      </c>
      <c r="AB61" s="21">
        <f>EXP(-LN(2)/2)*AB60+(1-EXP(-LN(2)/2))/(LN(2)/2)*V61*Y61*VLOOKUP('Données projet'!$B$9,Paramètres!$A$1:$I$89,3,0)*0.475*44/12</f>
        <v>3.7776781338064131E-4</v>
      </c>
      <c r="AC61" s="22">
        <f t="shared" si="3"/>
        <v>1.4294007427781847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7.8</v>
      </c>
      <c r="AI61" s="13">
        <f>IF('Données projet'!$A$62&gt;35,AI60+AH61-AQ60,IF(A61&lt;'Données projet'!$A$62,$AF$205^A61,IF(A61='Données projet'!$A$62,'Données projet'!$B$62,AI60+AH61-AQ60)))</f>
        <v>219.40000000000015</v>
      </c>
      <c r="AJ61" s="13">
        <f>AI61*VLOOKUP('Données projet'!$B$10,Paramètres!$A$1:$I$89,3,0)*VLOOKUP('Données projet'!$B$10,Paramètres!$A$1:$I$89,5,0)</f>
        <v>222.47160000000017</v>
      </c>
      <c r="AK61" s="13">
        <f t="shared" si="35"/>
        <v>54.651725986680781</v>
      </c>
      <c r="AL61" s="20">
        <f t="shared" si="4"/>
        <v>482.65645942680254</v>
      </c>
      <c r="AM61" s="59">
        <f t="shared" si="5"/>
        <v>775.98979276013586</v>
      </c>
      <c r="AN61" s="59">
        <f ca="1">AVERAGE(OFFSET($AM$3,0,0,'Données projet'!$E$10+1,1))-AVERAGE(OFFSET($H$3,0,0,'Données projet'!$E$10+1,1))</f>
        <v>279.20364724206644</v>
      </c>
      <c r="AO61" s="59">
        <f t="shared" si="36"/>
        <v>173.99850582760712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1.6014912650467632</v>
      </c>
      <c r="AW61" s="21">
        <f>EXP(-LN(2)/2)*AW60+(1-EXP(-LN(2)/2))/(LN(2)/2)*AQ61*AT61*VLOOKUP('Données projet'!$B$10,Paramètres!$A$1:$I$89,3,0)*0.475*44/12</f>
        <v>4.2336048051278761E-4</v>
      </c>
      <c r="AX61" s="21">
        <f t="shared" si="6"/>
        <v>1.601914625527276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13.499999999999996</v>
      </c>
      <c r="BD61" s="12">
        <f>IF('Données projet'!$A$88&gt;35,BD60+BC61-BL60,IF(A61&lt;'Données projet'!$A$88,$BA$205^A61,IF(A61='Données projet'!$A$88,'Données projet'!$B$88,BD60+BC61-BL60)))</f>
        <v>347.79999999999984</v>
      </c>
      <c r="BE61" s="13">
        <f>BD61*VLOOKUP('Données projet'!$B$11,Paramètres!$A$1:$I$89,3,0)*VLOOKUP('Données projet'!$B$11,Paramètres!$A$1:$I$89,5,0)</f>
        <v>162.77039999999994</v>
      </c>
      <c r="BF61" s="13">
        <f t="shared" si="37"/>
        <v>41.466761176934256</v>
      </c>
      <c r="BG61" s="20">
        <f t="shared" si="7"/>
        <v>355.71305571649367</v>
      </c>
      <c r="BH61" s="59">
        <f t="shared" si="8"/>
        <v>649.04638904982698</v>
      </c>
      <c r="BI61" s="59">
        <f ca="1">AVERAGE(OFFSET($BH$3,0,0,'Données projet'!$E$11+1,1))-AVERAGE(OFFSET($H$3,0,0,'Données projet'!$E$11+1,1))</f>
        <v>215.23235148064941</v>
      </c>
      <c r="BJ61" s="59">
        <f t="shared" si="38"/>
        <v>184.07239726900434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1.8003443648076818</v>
      </c>
      <c r="BQ61" s="21">
        <f>EXP(-LN(2)/25)*BQ60+(1-EXP(-LN(2)/25))/(LN(2)/25)*Calculateur!BL61*Calculateur!BN61*VLOOKUP('Données projet'!$B$11,Paramètres!$A$1:$I$89,3,0)*0.475*44/12</f>
        <v>3.6142506442342404</v>
      </c>
      <c r="BR61" s="21">
        <f>EXP(-LN(2)/2)*BR60+(1-EXP(-LN(2)/2))/(LN(2)/2)*BL61*BO61*VLOOKUP('Données projet'!$B$11,Paramètres!$A$1:$I$89,3,0)*0.475*44/12</f>
        <v>6.0010842775244091E-4</v>
      </c>
      <c r="BS61" s="22">
        <f t="shared" si="9"/>
        <v>5.4151951174696746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7.8</v>
      </c>
      <c r="BY61" s="12">
        <f>IF('Données projet'!$A$114&gt;35,BY60+BX61-CG60,IF(A61&lt;'Données projet'!$A$114,$BV$205^A61,IF(A61='Données projet'!$A$114,'Données projet'!$B$114,BY60+BX61-CG60)))</f>
        <v>219.40000000000015</v>
      </c>
      <c r="BZ61" s="13">
        <f>BY61*VLOOKUP('Données projet'!$B$12,Paramètres!$A$1:$I$89,3,0)*VLOOKUP('Données projet'!$B$12,Paramètres!$A$1:$I$89,5,0)</f>
        <v>236.16216000000014</v>
      </c>
      <c r="CA61" s="13">
        <f t="shared" si="39"/>
        <v>57.613027411175402</v>
      </c>
      <c r="CB61" s="20">
        <f t="shared" si="10"/>
        <v>511.65845140779737</v>
      </c>
      <c r="CC61" s="59">
        <f t="shared" si="11"/>
        <v>804.99178474113069</v>
      </c>
      <c r="CD61" s="59">
        <f ca="1">AVERAGE(OFFSET($CC$3,0,0,'Données projet'!$E$12+1,1))-AVERAGE(OFFSET($H$3,0,0,'Données projet'!$E$12+1,1))</f>
        <v>303.1504619632214</v>
      </c>
      <c r="CE61" s="59">
        <f t="shared" si="40"/>
        <v>188.09929616366503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1.7000445736650254</v>
      </c>
      <c r="CM61" s="21">
        <f>EXP(-LN(2)/2)*CM60+(1-EXP(-LN(2)/2))/(LN(2)/2)*CG61*CJ61*VLOOKUP('Données projet'!$B$12,Paramètres!$A$1:$I$89,3,0)*0.475*44/12</f>
        <v>4.4941343315972924E-4</v>
      </c>
      <c r="CN61" s="22">
        <f t="shared" si="12"/>
        <v>1.700493987098185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5.6</v>
      </c>
      <c r="CT61" s="12">
        <f>IF('Données projet'!$A$140&gt;35,CT60+CS61-DB60,IF(A61&lt;'Données projet'!$A$140,$CQ$205^A61,IF(A61='Données projet'!$A$140,'Données projet'!$B$140,CT60+CS61-DB60)))</f>
        <v>246.7999999999997</v>
      </c>
      <c r="CU61" s="17">
        <f>CT61*VLOOKUP('Données projet'!$B$13,Paramètres!$A$1:$I$89,3,0)*VLOOKUP('Données projet'!$B$13,Paramètres!$A$1:$I$89,5,0)</f>
        <v>165.5534399999998</v>
      </c>
      <c r="CV61" s="13">
        <f t="shared" si="41"/>
        <v>42.092611075660102</v>
      </c>
      <c r="CW61" s="20">
        <f t="shared" si="13"/>
        <v>361.65020562344097</v>
      </c>
      <c r="CX61" s="59">
        <f t="shared" si="14"/>
        <v>654.98353895677428</v>
      </c>
      <c r="CY61" s="59">
        <f ca="1">AVERAGE(OFFSET($CX$3,0,0,'Données projet'!$E$13+1,1))-AVERAGE(OFFSET($H$3,0,0,'Données projet'!$E$13+1,1))</f>
        <v>156.63226020379989</v>
      </c>
      <c r="CZ61" s="59">
        <f t="shared" si="42"/>
        <v>196.0481096619543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3.9889953159726899</v>
      </c>
      <c r="DH61" s="21">
        <f>EXP(-LN(2)/2)*DH60+(1-EXP(-LN(2)/2))/(LN(2)/2)*DB61*DE61*VLOOKUP('Données projet'!$B$13,Paramètres!$A$1:$I$89,3,0)*0.475*44/12</f>
        <v>5.5380070813762473E-4</v>
      </c>
      <c r="DI61" s="22">
        <f t="shared" si="15"/>
        <v>3.9895491166808275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-8.5265128291212022E-14</v>
      </c>
      <c r="DP61" s="17">
        <f>DO61*VLOOKUP('Données projet'!$B$14,Paramètres!$A$1:$I$89,3,0)*VLOOKUP('Données projet'!$B$14,Paramètres!$A$1:$I$89,5,0)</f>
        <v>-7.7147888077888636E-14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225.28075317732998</v>
      </c>
      <c r="DU61" s="59">
        <f t="shared" si="44"/>
        <v>358.43407531256207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1.2885662129931348</v>
      </c>
      <c r="EB61" s="21">
        <f>EXP(-LN(2)/25)*EB60+(1-EXP(-LN(2)/25))/(LN(2)/25)*Calculateur!DW61*Calculateur!DY61*VLOOKUP('Données projet'!$B$14,Paramètres!$A$1:$I$89,3,0)*0.475*44/12</f>
        <v>3.8059222011306715</v>
      </c>
      <c r="EC61" s="21">
        <f>EXP(-LN(2)/2)*EC60+(1-EXP(-LN(2)/2))/(LN(2)/2)*DW61*DZ61*VLOOKUP('Données projet'!$B$14,Paramètres!$A$1:$I$89,3,0)*0.475*44/12</f>
        <v>2.6941046844296409E-4</v>
      </c>
      <c r="ED61" s="22">
        <f t="shared" si="18"/>
        <v>5.0947578245922491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16.2</v>
      </c>
      <c r="EJ61" s="12">
        <f>IF('Données projet'!$A$192&gt;35,EJ60+EI61-ER60,IF(A61&lt;'Données projet'!$A$192,$EG$205^A61,IF(A61='Données projet'!$A$192,'Données projet'!$B$192,EJ60+EI61-ER60)))</f>
        <v>530.5999999999998</v>
      </c>
      <c r="EK61" s="17">
        <f>EJ61*VLOOKUP('Données projet'!$B$15,Paramètres!$A$1:$I$89,3,0)*VLOOKUP('Données projet'!$B$15,Paramètres!$A$1:$I$89,5,0)</f>
        <v>296.60539999999986</v>
      </c>
      <c r="EL61" s="13">
        <f t="shared" si="45"/>
        <v>70.464354291088782</v>
      </c>
      <c r="EM61" s="20">
        <f t="shared" si="19"/>
        <v>639.31315539031277</v>
      </c>
      <c r="EN61" s="59">
        <f t="shared" si="20"/>
        <v>932.64648872364614</v>
      </c>
      <c r="EO61" s="59">
        <f ca="1">AVERAGE(OFFSET($EN$3,0,0,'Données projet'!$E$15+1,1))-AVERAGE(OFFSET($H$3,0,0,'Données projet'!$E$15+1,1))</f>
        <v>326.31232746914907</v>
      </c>
      <c r="EP61" s="59">
        <f t="shared" si="46"/>
        <v>330.17137761430297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2.6235955158901598</v>
      </c>
      <c r="EW61" s="21">
        <f>EXP(-LN(2)/25)*EW60+(1-EXP(-LN(2)/25))/(LN(2)/25)*Calculateur!ER61*Calculateur!ET61*VLOOKUP('Données projet'!$B$15,Paramètres!$A$1:$I$89,3,0)*0.475*44/12</f>
        <v>13.882387189824884</v>
      </c>
      <c r="EX61" s="21">
        <f>EXP(-LN(2)/2)*EX60+(1-EXP(-LN(2)/2))/(LN(2)/2)*ER61*EU61*VLOOKUP('Données projet'!$B$15,Paramètres!$A$1:$I$89,3,0)*0.475*44/12</f>
        <v>1.9849907452658229E-3</v>
      </c>
      <c r="EY61" s="22">
        <f t="shared" si="21"/>
        <v>16.507967696460312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10</v>
      </c>
      <c r="FE61" s="12">
        <f>IF('Données projet'!$A$218&gt;35,FE60+FD61-FM60,IF(A61&lt;'Données projet'!$A$218,$FB$205^A61,IF(A61='Données projet'!$A$218,'Données projet'!$B$218,FE60+FD61-FM60)))</f>
        <v>383.99999999999989</v>
      </c>
      <c r="FF61" s="17">
        <f>FE61*VLOOKUP('Données projet'!$B$16,Paramètres!$A$1:$I$89,3,0)*VLOOKUP('Données projet'!$B$16,Paramètres!$A$1:$I$89,5,0)</f>
        <v>239.61599999999993</v>
      </c>
      <c r="FG61" s="13">
        <f t="shared" si="47"/>
        <v>58.356903313490157</v>
      </c>
      <c r="FH61" s="20">
        <f t="shared" si="22"/>
        <v>518.96947327099519</v>
      </c>
      <c r="FI61" s="59">
        <f t="shared" si="23"/>
        <v>812.30280660432845</v>
      </c>
      <c r="FJ61" s="59">
        <f ca="1">AVERAGE(OFFSET($FI$3,0,0,'Données projet'!$E$16+1,1))-AVERAGE(OFFSET($H$3,0,0,'Données projet'!$E$16+1,1))</f>
        <v>255.41017495879987</v>
      </c>
      <c r="FK61" s="59">
        <f t="shared" si="48"/>
        <v>297.50513563712764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4.7923605195118322</v>
      </c>
      <c r="FR61" s="21">
        <f>EXP(-LN(2)/25)*FR60+(1-EXP(-LN(2)/25))/(LN(2)/25)*Calculateur!FM61*Calculateur!FO61*VLOOKUP('Données projet'!$B$16,Paramètres!$A$1:$I$89,3,0)*0.475*44/12</f>
        <v>12.822754045580801</v>
      </c>
      <c r="FS61" s="21">
        <f>EXP(-LN(2)/2)*FS60+(1-EXP(-LN(2)/2))/(LN(2)/2)*FM61*FP61*VLOOKUP('Données projet'!$B$16,Paramètres!$A$1:$I$89,3,0)*0.475*44/12</f>
        <v>1.4893305137275317E-3</v>
      </c>
      <c r="FT61" s="22">
        <f t="shared" si="24"/>
        <v>17.61660389560636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12.8</v>
      </c>
      <c r="FZ61" s="12">
        <f>IF('Données projet'!$A$244&gt;35,FZ60+FY61-GH60,IF(A61&lt;'Données projet'!$A$244,$FW$205^A61,IF(A61='Données projet'!$A$244,'Données projet'!$B$244,FZ60+FY61-GH60)))</f>
        <v>421.40000000000026</v>
      </c>
      <c r="GA61" s="17">
        <f>FZ61*VLOOKUP('Données projet'!$B$17,Paramètres!$A$1:$I$89,3,0)*VLOOKUP('Données projet'!$B$17,Paramètres!$A$1:$I$89,5,0)</f>
        <v>251.99720000000019</v>
      </c>
      <c r="GB61" s="13">
        <f t="shared" si="49"/>
        <v>61.013412917313239</v>
      </c>
      <c r="GC61" s="20">
        <f t="shared" si="25"/>
        <v>545.16015083098762</v>
      </c>
      <c r="GD61" s="59">
        <f t="shared" si="26"/>
        <v>838.49348416432099</v>
      </c>
      <c r="GE61" s="59">
        <f ca="1">AVERAGE(OFFSET($GD$3,0,0,'Données projet'!$E$17+1,1))-AVERAGE(OFFSET($H$3,0,0,'Données projet'!$E$17+1,1))</f>
        <v>259.30247982593914</v>
      </c>
      <c r="GF61" s="59">
        <f t="shared" si="50"/>
        <v>275.24740346220779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8.2968779478009314</v>
      </c>
      <c r="GN61" s="21">
        <f>EXP(-LN(2)/2)*GN60+(1-EXP(-LN(2)/2))/(LN(2)/2)*GH61*GK61*VLOOKUP('Données projet'!$B$17,Paramètres!$A$1:$I$89,3,0)*0.475*44/12</f>
        <v>1.7505169788735984E-3</v>
      </c>
      <c r="GO61" s="21">
        <f t="shared" si="27"/>
        <v>8.2986284647798048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5.6</v>
      </c>
      <c r="GU61" s="12">
        <f>IF('Données projet'!$A$270&gt;35,GU60+GT61-HC60,IF(A61&lt;'Données projet'!$A$270,$GR$205^A61,IF(A61='Données projet'!$A$270,'Données projet'!$B$270,GU60+GT61-HC60)))</f>
        <v>246.7999999999997</v>
      </c>
      <c r="GV61" s="17">
        <f>GU61*VLOOKUP('Données projet'!$B$18,Paramètres!$A$1:$I$89,3,0)*VLOOKUP('Données projet'!$B$18,Paramètres!$A$1:$I$89,5,0)</f>
        <v>196.35407999999978</v>
      </c>
      <c r="GW61" s="13">
        <f t="shared" si="51"/>
        <v>48.942048927099485</v>
      </c>
      <c r="GX61" s="20">
        <f t="shared" si="28"/>
        <v>427.22409121469786</v>
      </c>
      <c r="GY61" s="59">
        <f t="shared" si="29"/>
        <v>720.55742454803112</v>
      </c>
      <c r="GZ61" s="59">
        <f ca="1">AVERAGE(OFFSET($GY$3,0,0,'Données projet'!$E$18+1,1))-AVERAGE(OFFSET($H$3,0,0,'Données projet'!$E$18+1,1))</f>
        <v>199.58763537752952</v>
      </c>
      <c r="HA61" s="59">
        <f t="shared" si="52"/>
        <v>242.62852778451929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0</v>
      </c>
      <c r="HH61" s="21">
        <f>EXP(-LN(2)/25)*HH60+(1-EXP(-LN(2)/25))/(LN(2)/25)*Calculateur!HC61*Calculateur!HE61*VLOOKUP('Données projet'!$B$18,Paramètres!$A$1:$I$89,3,0)*0.475*44/12</f>
        <v>4.731133979409468</v>
      </c>
      <c r="HI61" s="21">
        <f>EXP(-LN(2)/2)*HI60+(1-EXP(-LN(2)/2))/(LN(2)/2)*HC61*HF61*VLOOKUP('Données projet'!$B$18,Paramètres!$A$1:$I$89,3,0)*0.475*44/12</f>
        <v>6.5683339802369506E-4</v>
      </c>
      <c r="HJ61" s="22">
        <f t="shared" si="30"/>
        <v>4.7317908128074917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</v>
      </c>
      <c r="N62" s="13">
        <f>IF('Données projet'!$A$36&gt;35,N61+M62-V61,IF(A62&lt;'Données projet'!$A$36,$K$205^A62,IF(A62='Données projet'!$A$36,'Données projet'!$B$36,N61+M62-V61)))</f>
        <v>227.20000000000016</v>
      </c>
      <c r="O62" s="13">
        <f>N62*VLOOKUP('Données projet'!$B$9,Paramètres!$A$1:$I$89,3,0)*VLOOKUP('Données projet'!$B$9,Paramètres!$A$1:$I$89,5,0)</f>
        <v>205.57056000000014</v>
      </c>
      <c r="P62" s="13">
        <f t="shared" si="33"/>
        <v>50.966443946767434</v>
      </c>
      <c r="Q62" s="20">
        <f t="shared" si="53"/>
        <v>446.80194854062023</v>
      </c>
      <c r="R62" s="59">
        <f t="shared" si="0"/>
        <v>740.13528187395355</v>
      </c>
      <c r="S62" s="59">
        <f ca="1">AVERAGE(OFFSET($R$3,0,0,'Données projet'!$E$9+1,1))-AVERAGE(OFFSET($H$3,0,0,'Données projet'!$E$9+1,1))</f>
        <v>237.22177246688199</v>
      </c>
      <c r="T62" s="59">
        <f t="shared" si="34"/>
        <v>149.27472147904302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1.3899462665653393</v>
      </c>
      <c r="AB62" s="21">
        <f>EXP(-LN(2)/2)*AB61+(1-EXP(-LN(2)/2))/(LN(2)/2)*V62*Y62*VLOOKUP('Données projet'!$B$9,Paramètres!$A$1:$I$89,3,0)*0.475*44/12</f>
        <v>2.6712218255546565E-4</v>
      </c>
      <c r="AC62" s="22">
        <f t="shared" si="3"/>
        <v>1.3902133887478947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7.8</v>
      </c>
      <c r="AI62" s="13">
        <f>IF('Données projet'!$A$62&gt;35,AI61+AH62-AQ61,IF(A62&lt;'Données projet'!$A$62,$AF$205^A62,IF(A62='Données projet'!$A$62,'Données projet'!$B$62,AI61+AH62-AQ61)))</f>
        <v>227.20000000000016</v>
      </c>
      <c r="AJ62" s="13">
        <f>AI62*VLOOKUP('Données projet'!$B$10,Paramètres!$A$1:$I$89,3,0)*VLOOKUP('Données projet'!$B$10,Paramètres!$A$1:$I$89,5,0)</f>
        <v>230.38080000000019</v>
      </c>
      <c r="AK62" s="13">
        <f t="shared" si="35"/>
        <v>56.365011465140029</v>
      </c>
      <c r="AL62" s="20">
        <f t="shared" si="4"/>
        <v>499.41562163511918</v>
      </c>
      <c r="AM62" s="59">
        <f t="shared" si="5"/>
        <v>792.74895496845249</v>
      </c>
      <c r="AN62" s="59">
        <f ca="1">AVERAGE(OFFSET($AM$3,0,0,'Données projet'!$E$10+1,1))-AVERAGE(OFFSET($H$3,0,0,'Données projet'!$E$10+1,1))</f>
        <v>279.20364724206644</v>
      </c>
      <c r="AO62" s="59">
        <f t="shared" si="36"/>
        <v>173.99850582760712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1.557698402185294</v>
      </c>
      <c r="AW62" s="21">
        <f>EXP(-LN(2)/2)*AW61+(1-EXP(-LN(2)/2))/(LN(2)/2)*AQ62*AT62*VLOOKUP('Données projet'!$B$10,Paramètres!$A$1:$I$89,3,0)*0.475*44/12</f>
        <v>2.9936106665698733E-4</v>
      </c>
      <c r="AX62" s="21">
        <f t="shared" si="6"/>
        <v>1.5579977632519511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13.499999999999996</v>
      </c>
      <c r="BD62" s="12">
        <f>IF('Données projet'!$A$88&gt;35,BD61+BC62-BL61,IF(A62&lt;'Données projet'!$A$88,$BA$205^A62,IF(A62='Données projet'!$A$88,'Données projet'!$B$88,BD61+BC62-BL61)))</f>
        <v>361.29999999999984</v>
      </c>
      <c r="BE62" s="13">
        <f>BD62*VLOOKUP('Données projet'!$B$11,Paramètres!$A$1:$I$89,3,0)*VLOOKUP('Données projet'!$B$11,Paramètres!$A$1:$I$89,5,0)</f>
        <v>169.08839999999992</v>
      </c>
      <c r="BF62" s="13">
        <f t="shared" si="37"/>
        <v>42.885791664164614</v>
      </c>
      <c r="BG62" s="20">
        <f t="shared" si="7"/>
        <v>369.18838381508658</v>
      </c>
      <c r="BH62" s="59">
        <f t="shared" si="8"/>
        <v>662.52171714841984</v>
      </c>
      <c r="BI62" s="59">
        <f ca="1">AVERAGE(OFFSET($BH$3,0,0,'Données projet'!$E$11+1,1))-AVERAGE(OFFSET($H$3,0,0,'Données projet'!$E$11+1,1))</f>
        <v>215.23235148064941</v>
      </c>
      <c r="BJ62" s="59">
        <f t="shared" si="38"/>
        <v>184.07239726900434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1.765040709915437</v>
      </c>
      <c r="BQ62" s="21">
        <f>EXP(-LN(2)/25)*BQ61+(1-EXP(-LN(2)/25))/(LN(2)/25)*Calculateur!BL62*Calculateur!BN62*VLOOKUP('Données projet'!$B$11,Paramètres!$A$1:$I$89,3,0)*0.475*44/12</f>
        <v>3.5154187703024742</v>
      </c>
      <c r="BR62" s="21">
        <f>EXP(-LN(2)/2)*BR61+(1-EXP(-LN(2)/2))/(LN(2)/2)*BL62*BO62*VLOOKUP('Données projet'!$B$11,Paramètres!$A$1:$I$89,3,0)*0.475*44/12</f>
        <v>4.2434073871094831E-4</v>
      </c>
      <c r="BS62" s="22">
        <f t="shared" si="9"/>
        <v>5.280883820956622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7.8</v>
      </c>
      <c r="BY62" s="12">
        <f>IF('Données projet'!$A$114&gt;35,BY61+BX62-CG61,IF(A62&lt;'Données projet'!$A$114,$BV$205^A62,IF(A62='Données projet'!$A$114,'Données projet'!$B$114,BY61+BX62-CG61)))</f>
        <v>227.20000000000016</v>
      </c>
      <c r="BZ62" s="13">
        <f>BY62*VLOOKUP('Données projet'!$B$12,Paramètres!$A$1:$I$89,3,0)*VLOOKUP('Données projet'!$B$12,Paramètres!$A$1:$I$89,5,0)</f>
        <v>244.55808000000013</v>
      </c>
      <c r="CA62" s="13">
        <f t="shared" si="39"/>
        <v>59.419147189674213</v>
      </c>
      <c r="CB62" s="20">
        <f t="shared" si="10"/>
        <v>529.42700402201615</v>
      </c>
      <c r="CC62" s="59">
        <f t="shared" si="11"/>
        <v>822.76033735534952</v>
      </c>
      <c r="CD62" s="59">
        <f ca="1">AVERAGE(OFFSET($CC$3,0,0,'Données projet'!$E$12+1,1))-AVERAGE(OFFSET($H$3,0,0,'Données projet'!$E$12+1,1))</f>
        <v>303.1504619632214</v>
      </c>
      <c r="CE62" s="59">
        <f t="shared" si="40"/>
        <v>188.09929616366503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1.6535567653966967</v>
      </c>
      <c r="CM62" s="21">
        <f>EXP(-LN(2)/2)*CM61+(1-EXP(-LN(2)/2))/(LN(2)/2)*CG62*CJ62*VLOOKUP('Données projet'!$B$12,Paramètres!$A$1:$I$89,3,0)*0.475*44/12</f>
        <v>3.1778328614357176E-4</v>
      </c>
      <c r="CN62" s="22">
        <f t="shared" si="12"/>
        <v>1.6538745486828403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5.6</v>
      </c>
      <c r="CT62" s="12">
        <f>IF('Données projet'!$A$140&gt;35,CT61+CS62-DB61,IF(A62&lt;'Données projet'!$A$140,$CQ$205^A62,IF(A62='Données projet'!$A$140,'Données projet'!$B$140,CT61+CS62-DB61)))</f>
        <v>252.39999999999969</v>
      </c>
      <c r="CU62" s="17">
        <f>CT62*VLOOKUP('Données projet'!$B$13,Paramètres!$A$1:$I$89,3,0)*VLOOKUP('Données projet'!$B$13,Paramètres!$A$1:$I$89,5,0)</f>
        <v>169.30991999999981</v>
      </c>
      <c r="CV62" s="13">
        <f t="shared" si="41"/>
        <v>42.935432052241438</v>
      </c>
      <c r="CW62" s="20">
        <f t="shared" si="13"/>
        <v>369.66065482432015</v>
      </c>
      <c r="CX62" s="59">
        <f t="shared" si="14"/>
        <v>662.99398815765346</v>
      </c>
      <c r="CY62" s="59">
        <f ca="1">AVERAGE(OFFSET($CX$3,0,0,'Données projet'!$E$13+1,1))-AVERAGE(OFFSET($H$3,0,0,'Données projet'!$E$13+1,1))</f>
        <v>156.63226020379989</v>
      </c>
      <c r="CZ62" s="59">
        <f t="shared" si="42"/>
        <v>196.0481096619543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3.8799160292852699</v>
      </c>
      <c r="DH62" s="21">
        <f>EXP(-LN(2)/2)*DH61+(1-EXP(-LN(2)/2))/(LN(2)/2)*DB62*DE62*VLOOKUP('Données projet'!$B$13,Paramètres!$A$1:$I$89,3,0)*0.475*44/12</f>
        <v>3.9159623615002648E-4</v>
      </c>
      <c r="DI62" s="22">
        <f t="shared" si="15"/>
        <v>3.8803076255214197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-8.5265128291212022E-14</v>
      </c>
      <c r="DP62" s="17">
        <f>DO62*VLOOKUP('Données projet'!$B$14,Paramètres!$A$1:$I$89,3,0)*VLOOKUP('Données projet'!$B$14,Paramètres!$A$1:$I$89,5,0)</f>
        <v>-7.7147888077888636E-14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225.28075317732998</v>
      </c>
      <c r="DU62" s="59">
        <f t="shared" si="44"/>
        <v>358.43407531256207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1.2632982155041235</v>
      </c>
      <c r="EB62" s="21">
        <f>EXP(-LN(2)/25)*EB61+(1-EXP(-LN(2)/25))/(LN(2)/25)*Calculateur!DW62*Calculateur!DY62*VLOOKUP('Données projet'!$B$14,Paramètres!$A$1:$I$89,3,0)*0.475*44/12</f>
        <v>3.7018490583960033</v>
      </c>
      <c r="EC62" s="21">
        <f>EXP(-LN(2)/2)*EC61+(1-EXP(-LN(2)/2))/(LN(2)/2)*DW62*DZ62*VLOOKUP('Données projet'!$B$14,Paramètres!$A$1:$I$89,3,0)*0.475*44/12</f>
        <v>1.9050196915866428E-4</v>
      </c>
      <c r="ED62" s="22">
        <f t="shared" si="18"/>
        <v>4.9653377758692852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16.2</v>
      </c>
      <c r="EJ62" s="12">
        <f>IF('Données projet'!$A$192&gt;35,EJ61+EI62-ER61,IF(A62&lt;'Données projet'!$A$192,$EG$205^A62,IF(A62='Données projet'!$A$192,'Données projet'!$B$192,EJ61+EI62-ER61)))</f>
        <v>546.79999999999984</v>
      </c>
      <c r="EK62" s="17">
        <f>EJ62*VLOOKUP('Données projet'!$B$15,Paramètres!$A$1:$I$89,3,0)*VLOOKUP('Données projet'!$B$15,Paramètres!$A$1:$I$89,5,0)</f>
        <v>305.66119999999995</v>
      </c>
      <c r="EL62" s="13">
        <f t="shared" si="45"/>
        <v>72.361974072085076</v>
      </c>
      <c r="EM62" s="20">
        <f t="shared" si="19"/>
        <v>658.39036150888137</v>
      </c>
      <c r="EN62" s="59">
        <f t="shared" si="20"/>
        <v>951.72369484221463</v>
      </c>
      <c r="EO62" s="59">
        <f ca="1">AVERAGE(OFFSET($EN$3,0,0,'Données projet'!$E$15+1,1))-AVERAGE(OFFSET($H$3,0,0,'Données projet'!$E$15+1,1))</f>
        <v>326.31232746914907</v>
      </c>
      <c r="EP62" s="59">
        <f t="shared" si="46"/>
        <v>330.17137761430297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2.5721484080588084</v>
      </c>
      <c r="EW62" s="21">
        <f>EXP(-LN(2)/25)*EW61+(1-EXP(-LN(2)/25))/(LN(2)/25)*Calculateur!ER62*Calculateur!ET62*VLOOKUP('Données projet'!$B$15,Paramètres!$A$1:$I$89,3,0)*0.475*44/12</f>
        <v>13.502772582076108</v>
      </c>
      <c r="EX62" s="21">
        <f>EXP(-LN(2)/2)*EX61+(1-EXP(-LN(2)/2))/(LN(2)/2)*ER62*EU62*VLOOKUP('Données projet'!$B$15,Paramètres!$A$1:$I$89,3,0)*0.475*44/12</f>
        <v>1.4036004165700021E-3</v>
      </c>
      <c r="EY62" s="22">
        <f t="shared" si="21"/>
        <v>16.076324590551486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10</v>
      </c>
      <c r="FE62" s="12">
        <f>IF('Données projet'!$A$218&gt;35,FE61+FD62-FM61,IF(A62&lt;'Données projet'!$A$218,$FB$205^A62,IF(A62='Données projet'!$A$218,'Données projet'!$B$218,FE61+FD62-FM61)))</f>
        <v>393.99999999999989</v>
      </c>
      <c r="FF62" s="17">
        <f>FE62*VLOOKUP('Données projet'!$B$16,Paramètres!$A$1:$I$89,3,0)*VLOOKUP('Données projet'!$B$16,Paramètres!$A$1:$I$89,5,0)</f>
        <v>245.85599999999994</v>
      </c>
      <c r="FG62" s="13">
        <f t="shared" si="47"/>
        <v>59.697704223313963</v>
      </c>
      <c r="FH62" s="20">
        <f t="shared" si="22"/>
        <v>532.17270152227172</v>
      </c>
      <c r="FI62" s="59">
        <f t="shared" si="23"/>
        <v>825.50603485560509</v>
      </c>
      <c r="FJ62" s="59">
        <f ca="1">AVERAGE(OFFSET($FI$3,0,0,'Données projet'!$E$16+1,1))-AVERAGE(OFFSET($H$3,0,0,'Données projet'!$E$16+1,1))</f>
        <v>255.41017495879987</v>
      </c>
      <c r="FK62" s="59">
        <f t="shared" si="48"/>
        <v>297.50513563712764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4.6983852527754948</v>
      </c>
      <c r="FR62" s="21">
        <f>EXP(-LN(2)/25)*FR61+(1-EXP(-LN(2)/25))/(LN(2)/25)*Calculateur!FM62*Calculateur!FO62*VLOOKUP('Données projet'!$B$16,Paramètres!$A$1:$I$89,3,0)*0.475*44/12</f>
        <v>12.472115161885066</v>
      </c>
      <c r="FS62" s="21">
        <f>EXP(-LN(2)/2)*FS61+(1-EXP(-LN(2)/2))/(LN(2)/2)*FM62*FP62*VLOOKUP('Données projet'!$B$16,Paramètres!$A$1:$I$89,3,0)*0.475*44/12</f>
        <v>1.0531157056847822E-3</v>
      </c>
      <c r="FT62" s="22">
        <f t="shared" si="24"/>
        <v>17.171553530366243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12.8</v>
      </c>
      <c r="FZ62" s="12">
        <f>IF('Données projet'!$A$244&gt;35,FZ61+FY62-GH61,IF(A62&lt;'Données projet'!$A$244,$FW$205^A62,IF(A62='Données projet'!$A$244,'Données projet'!$B$244,FZ61+FY62-GH61)))</f>
        <v>434.20000000000027</v>
      </c>
      <c r="GA62" s="17">
        <f>FZ62*VLOOKUP('Données projet'!$B$17,Paramètres!$A$1:$I$89,3,0)*VLOOKUP('Données projet'!$B$17,Paramètres!$A$1:$I$89,5,0)</f>
        <v>259.6516000000002</v>
      </c>
      <c r="GB62" s="13">
        <f t="shared" si="49"/>
        <v>62.6481073606721</v>
      </c>
      <c r="GC62" s="20">
        <f t="shared" si="25"/>
        <v>561.33865698650425</v>
      </c>
      <c r="GD62" s="59">
        <f t="shared" si="26"/>
        <v>854.67199031983751</v>
      </c>
      <c r="GE62" s="59">
        <f ca="1">AVERAGE(OFFSET($GD$3,0,0,'Données projet'!$E$17+1,1))-AVERAGE(OFFSET($H$3,0,0,'Données projet'!$E$17+1,1))</f>
        <v>259.30247982593914</v>
      </c>
      <c r="GF62" s="59">
        <f t="shared" si="50"/>
        <v>275.24740346220779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8.0699993840044666</v>
      </c>
      <c r="GN62" s="21">
        <f>EXP(-LN(2)/2)*GN61+(1-EXP(-LN(2)/2))/(LN(2)/2)*GH62*GK62*VLOOKUP('Données projet'!$B$17,Paramètres!$A$1:$I$89,3,0)*0.475*44/12</f>
        <v>1.2378024263437098E-3</v>
      </c>
      <c r="GO62" s="21">
        <f t="shared" si="27"/>
        <v>8.0712371864308103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5.6</v>
      </c>
      <c r="GU62" s="12">
        <f>IF('Données projet'!$A$270&gt;35,GU61+GT62-HC61,IF(A62&lt;'Données projet'!$A$270,$GR$205^A62,IF(A62='Données projet'!$A$270,'Données projet'!$B$270,GU61+GT62-HC61)))</f>
        <v>252.39999999999969</v>
      </c>
      <c r="GV62" s="17">
        <f>GU62*VLOOKUP('Données projet'!$B$18,Paramètres!$A$1:$I$89,3,0)*VLOOKUP('Données projet'!$B$18,Paramètres!$A$1:$I$89,5,0)</f>
        <v>200.80943999999977</v>
      </c>
      <c r="GW62" s="13">
        <f t="shared" si="51"/>
        <v>49.922016299484262</v>
      </c>
      <c r="GX62" s="20">
        <f t="shared" si="28"/>
        <v>436.69061972160131</v>
      </c>
      <c r="GY62" s="59">
        <f t="shared" si="29"/>
        <v>730.02395305493462</v>
      </c>
      <c r="GZ62" s="59">
        <f ca="1">AVERAGE(OFFSET($GY$3,0,0,'Données projet'!$E$18+1,1))-AVERAGE(OFFSET($H$3,0,0,'Données projet'!$E$18+1,1))</f>
        <v>199.58763537752952</v>
      </c>
      <c r="HA62" s="59">
        <f t="shared" si="52"/>
        <v>242.62852778451929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0</v>
      </c>
      <c r="HH62" s="21">
        <f>EXP(-LN(2)/25)*HH61+(1-EXP(-LN(2)/25))/(LN(2)/25)*Calculateur!HC62*Calculateur!HE62*VLOOKUP('Données projet'!$B$18,Paramètres!$A$1:$I$89,3,0)*0.475*44/12</f>
        <v>4.601760871942993</v>
      </c>
      <c r="HI62" s="21">
        <f>EXP(-LN(2)/2)*HI61+(1-EXP(-LN(2)/2))/(LN(2)/2)*HC62*HF62*VLOOKUP('Données projet'!$B$18,Paramètres!$A$1:$I$89,3,0)*0.475*44/12</f>
        <v>4.6445134985235743E-4</v>
      </c>
      <c r="HJ62" s="22">
        <f t="shared" si="30"/>
        <v>4.6022253232928456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7.8</v>
      </c>
      <c r="M63" s="12">
        <f t="array" ref="M63">INDEX(L:L,MIN(IF(ISNUMBER(L63:L259),ROW(L63:L259),"")))</f>
        <v>7.8</v>
      </c>
      <c r="N63" s="13">
        <f>IF('Données projet'!$A$36&gt;35,N62+M63-V62,IF(A63&lt;'Données projet'!$A$36,$K$205^A63,IF(A63='Données projet'!$A$36,'Données projet'!$B$36,N62+M63-V62)))</f>
        <v>235.00000000000017</v>
      </c>
      <c r="O63" s="13">
        <f>N63*VLOOKUP('Données projet'!$B$9,Paramètres!$A$1:$I$89,3,0)*VLOOKUP('Données projet'!$B$9,Paramètres!$A$1:$I$89,5,0)</f>
        <v>212.62800000000016</v>
      </c>
      <c r="P63" s="13">
        <f t="shared" si="33"/>
        <v>52.509453483719085</v>
      </c>
      <c r="Q63" s="20">
        <f t="shared" si="53"/>
        <v>461.78106481747767</v>
      </c>
      <c r="R63" s="59">
        <f t="shared" si="0"/>
        <v>755.11439815081098</v>
      </c>
      <c r="S63" s="59">
        <f ca="1">AVERAGE(OFFSET($R$3,0,0,'Données projet'!$E$9+1,1))-AVERAGE(OFFSET($H$3,0,0,'Données projet'!$E$9+1,1))</f>
        <v>237.22177246688199</v>
      </c>
      <c r="T63" s="59">
        <f t="shared" si="34"/>
        <v>149.27472147904302</v>
      </c>
      <c r="U63" s="15">
        <f>IF(ISNA(VLOOKUP(A63,'Données projet'!$A$35:$I$55,3,0)),0,VLOOKUP(A63,'Données projet'!$A$35:$I$55,3,0))</f>
        <v>4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1.3519381128120127</v>
      </c>
      <c r="AB63" s="21">
        <f>EXP(-LN(2)/2)*AB62+(1-EXP(-LN(2)/2))/(LN(2)/2)*V63*Y63*VLOOKUP('Données projet'!$B$9,Paramètres!$A$1:$I$89,3,0)*0.475*44/12</f>
        <v>1.8888390669032066E-4</v>
      </c>
      <c r="AC63" s="22">
        <f t="shared" si="3"/>
        <v>1.3521269967187031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7.8</v>
      </c>
      <c r="AH63" s="12">
        <f t="array" ref="AH63">INDEX(AG:AG,MIN(IF(ISNUMBER(AG63:AG259),ROW(AG63:AG259),"")))</f>
        <v>7.8</v>
      </c>
      <c r="AI63" s="13">
        <f>IF('Données projet'!$A$62&gt;35,AI62+AH63-AQ62,IF(A63&lt;'Données projet'!$A$62,$AF$205^A63,IF(A63='Données projet'!$A$62,'Données projet'!$B$62,AI62+AH63-AQ62)))</f>
        <v>235.00000000000017</v>
      </c>
      <c r="AJ63" s="13">
        <f>AI63*VLOOKUP('Données projet'!$B$10,Paramètres!$A$1:$I$89,3,0)*VLOOKUP('Données projet'!$B$10,Paramètres!$A$1:$I$89,5,0)</f>
        <v>238.29000000000019</v>
      </c>
      <c r="AK63" s="13">
        <f t="shared" si="35"/>
        <v>58.071462681001563</v>
      </c>
      <c r="AL63" s="20">
        <f t="shared" si="4"/>
        <v>516.16288083607799</v>
      </c>
      <c r="AM63" s="59">
        <f t="shared" si="5"/>
        <v>809.49621416941136</v>
      </c>
      <c r="AN63" s="59">
        <f ca="1">AVERAGE(OFFSET($AM$3,0,0,'Données projet'!$E$10+1,1))-AVERAGE(OFFSET($H$3,0,0,'Données projet'!$E$10+1,1))</f>
        <v>279.20364724206644</v>
      </c>
      <c r="AO63" s="59">
        <f t="shared" si="36"/>
        <v>173.99850582760712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1.5151030574617383</v>
      </c>
      <c r="AW63" s="21">
        <f>EXP(-LN(2)/2)*AW62+(1-EXP(-LN(2)/2))/(LN(2)/2)*AQ63*AT63*VLOOKUP('Données projet'!$B$10,Paramètres!$A$1:$I$89,3,0)*0.475*44/12</f>
        <v>2.1168024025639381E-4</v>
      </c>
      <c r="AX63" s="21">
        <f t="shared" si="6"/>
        <v>1.5153147377019947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374.79999999999995</v>
      </c>
      <c r="BB63" s="12">
        <f>VLOOKUP(A63,'Données projet'!$A$87:$I$107,9,0)</f>
        <v>13.499999999999996</v>
      </c>
      <c r="BC63" s="12">
        <f t="array" ref="BC63">INDEX(BB:BB,MIN(IF(ISNUMBER(BB63:BB259),ROW(BB63:BB259),"")))</f>
        <v>13.499999999999996</v>
      </c>
      <c r="BD63" s="12">
        <f>IF('Données projet'!$A$88&gt;35,BD62+BC63-BL62,IF(A63&lt;'Données projet'!$A$88,$BA$205^A63,IF(A63='Données projet'!$A$88,'Données projet'!$B$88,BD62+BC63-BL62)))</f>
        <v>374.79999999999984</v>
      </c>
      <c r="BE63" s="13">
        <f>BD63*VLOOKUP('Données projet'!$B$11,Paramètres!$A$1:$I$89,3,0)*VLOOKUP('Données projet'!$B$11,Paramètres!$A$1:$I$89,5,0)</f>
        <v>175.40639999999993</v>
      </c>
      <c r="BF63" s="13">
        <f t="shared" si="37"/>
        <v>44.298662258322672</v>
      </c>
      <c r="BG63" s="20">
        <f t="shared" si="7"/>
        <v>382.65298343324525</v>
      </c>
      <c r="BH63" s="59">
        <f t="shared" si="8"/>
        <v>675.98631676657851</v>
      </c>
      <c r="BI63" s="59">
        <f ca="1">AVERAGE(OFFSET($BH$3,0,0,'Données projet'!$E$11+1,1))-AVERAGE(OFFSET($H$3,0,0,'Données projet'!$E$11+1,1))</f>
        <v>215.23235148064941</v>
      </c>
      <c r="BJ63" s="59">
        <f t="shared" si="38"/>
        <v>184.07239726900434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83.4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1.730429338162526</v>
      </c>
      <c r="BQ63" s="21">
        <f>EXP(-LN(2)/25)*BQ62+(1-EXP(-LN(2)/25))/(LN(2)/25)*Calculateur!BL63*Calculateur!BN63*VLOOKUP('Données projet'!$B$11,Paramètres!$A$1:$I$89,3,0)*0.475*44/12</f>
        <v>3.4192894591607144</v>
      </c>
      <c r="BR63" s="21">
        <f>EXP(-LN(2)/2)*BR62+(1-EXP(-LN(2)/2))/(LN(2)/2)*BL63*BO63*VLOOKUP('Données projet'!$B$11,Paramètres!$A$1:$I$89,3,0)*0.475*44/12</f>
        <v>3.0005421387622046E-4</v>
      </c>
      <c r="BS63" s="22">
        <f t="shared" si="9"/>
        <v>5.1500188515371166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235</v>
      </c>
      <c r="BW63" s="12">
        <f>VLOOKUP(A63,'Données projet'!$A$113:$I$133,9,0)</f>
        <v>7.8</v>
      </c>
      <c r="BX63" s="12">
        <f t="array" ref="BX63">INDEX(BW:BW,MIN(IF(ISNUMBER(BW63:BW259),ROW(BW63:BW259),"")))</f>
        <v>7.8</v>
      </c>
      <c r="BY63" s="12">
        <f>IF('Données projet'!$A$114&gt;35,BY62+BX63-CG62,IF(A63&lt;'Données projet'!$A$114,$BV$205^A63,IF(A63='Données projet'!$A$114,'Données projet'!$B$114,BY62+BX63-CG62)))</f>
        <v>235.00000000000017</v>
      </c>
      <c r="BZ63" s="13">
        <f>BY63*VLOOKUP('Données projet'!$B$12,Paramètres!$A$1:$I$89,3,0)*VLOOKUP('Données projet'!$B$12,Paramètres!$A$1:$I$89,5,0)</f>
        <v>252.95400000000015</v>
      </c>
      <c r="CA63" s="13">
        <f t="shared" si="39"/>
        <v>61.218062391350081</v>
      </c>
      <c r="CB63" s="20">
        <f t="shared" si="10"/>
        <v>547.18300866493496</v>
      </c>
      <c r="CC63" s="59">
        <f t="shared" si="11"/>
        <v>840.51634199826822</v>
      </c>
      <c r="CD63" s="59">
        <f ca="1">AVERAGE(OFFSET($CC$3,0,0,'Données projet'!$E$12+1,1))-AVERAGE(OFFSET($H$3,0,0,'Données projet'!$E$12+1,1))</f>
        <v>303.1504619632214</v>
      </c>
      <c r="CE63" s="59">
        <f t="shared" si="40"/>
        <v>188.09929616366503</v>
      </c>
      <c r="CF63" s="15">
        <f>IF(ISNA(VLOOKUP(A63,'Données projet'!$A$113:$I$133,3,0)),0,VLOOKUP(A63,'Données projet'!$A$113:$I$133,3,0))</f>
        <v>4</v>
      </c>
      <c r="CG63" s="15">
        <f>IF(ISNA(VLOOKUP(A63,'Données projet'!$A$113:$I$133,4,0)),0,VLOOKUP(A63,'Données projet'!$A$113:$I$133,4,0))</f>
        <v>42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1.6083401686901531</v>
      </c>
      <c r="CM63" s="21">
        <f>EXP(-LN(2)/2)*CM62+(1-EXP(-LN(2)/2))/(LN(2)/2)*CG63*CJ63*VLOOKUP('Données projet'!$B$12,Paramètres!$A$1:$I$89,3,0)*0.475*44/12</f>
        <v>2.2470671657986462E-4</v>
      </c>
      <c r="CN63" s="22">
        <f t="shared" si="12"/>
        <v>1.608564875406733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258</v>
      </c>
      <c r="CR63" s="12">
        <f>VLOOKUP(A63,'Données projet'!$A$139:$I$159,9,0)</f>
        <v>5.6</v>
      </c>
      <c r="CS63" s="12">
        <f t="array" ref="CS63">INDEX(CR:CR,MIN(IF(ISNUMBER(CR63:CR259),ROW(CR63:CR259),"")))</f>
        <v>5.6</v>
      </c>
      <c r="CT63" s="12">
        <f>IF('Données projet'!$A$140&gt;35,CT62+CS63-DB62,IF(A63&lt;'Données projet'!$A$140,$CQ$205^A63,IF(A63='Données projet'!$A$140,'Données projet'!$B$140,CT62+CS63-DB62)))</f>
        <v>257.99999999999972</v>
      </c>
      <c r="CU63" s="17">
        <f>CT63*VLOOKUP('Données projet'!$B$13,Paramètres!$A$1:$I$89,3,0)*VLOOKUP('Données projet'!$B$13,Paramètres!$A$1:$I$89,5,0)</f>
        <v>173.06639999999982</v>
      </c>
      <c r="CV63" s="13">
        <f t="shared" si="41"/>
        <v>43.776079006603076</v>
      </c>
      <c r="CW63" s="20">
        <f t="shared" si="13"/>
        <v>377.66731760316674</v>
      </c>
      <c r="CX63" s="59">
        <f t="shared" si="14"/>
        <v>671.00065093650005</v>
      </c>
      <c r="CY63" s="59">
        <f ca="1">AVERAGE(OFFSET($CX$3,0,0,'Données projet'!$E$13+1,1))-AVERAGE(OFFSET($H$3,0,0,'Données projet'!$E$13+1,1))</f>
        <v>156.63226020379989</v>
      </c>
      <c r="CZ63" s="59">
        <f t="shared" si="42"/>
        <v>196.0481096619543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25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3.7738195214285479</v>
      </c>
      <c r="DH63" s="21">
        <f>EXP(-LN(2)/2)*DH62+(1-EXP(-LN(2)/2))/(LN(2)/2)*DB63*DE63*VLOOKUP('Données projet'!$B$13,Paramètres!$A$1:$I$89,3,0)*0.475*44/12</f>
        <v>2.7690035406881236E-4</v>
      </c>
      <c r="DI63" s="22">
        <f t="shared" si="15"/>
        <v>3.774096421782617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-8.5265128291212022E-14</v>
      </c>
      <c r="DP63" s="17">
        <f>DO63*VLOOKUP('Données projet'!$B$14,Paramètres!$A$1:$I$89,3,0)*VLOOKUP('Données projet'!$B$14,Paramètres!$A$1:$I$89,5,0)</f>
        <v>-7.7147888077888636E-14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225.28075317732998</v>
      </c>
      <c r="DU63" s="59">
        <f t="shared" si="44"/>
        <v>358.43407531256207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1.2385257080339149</v>
      </c>
      <c r="EB63" s="21">
        <f>EXP(-LN(2)/25)*EB62+(1-EXP(-LN(2)/25))/(LN(2)/25)*Calculateur!DW63*Calculateur!DY63*VLOOKUP('Données projet'!$B$14,Paramètres!$A$1:$I$89,3,0)*0.475*44/12</f>
        <v>3.6006218012223834</v>
      </c>
      <c r="EC63" s="21">
        <f>EXP(-LN(2)/2)*EC62+(1-EXP(-LN(2)/2))/(LN(2)/2)*DW63*DZ63*VLOOKUP('Données projet'!$B$14,Paramètres!$A$1:$I$89,3,0)*0.475*44/12</f>
        <v>1.3470523422148205E-4</v>
      </c>
      <c r="ED63" s="22">
        <f t="shared" si="18"/>
        <v>4.8392822144905194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563</v>
      </c>
      <c r="EH63" s="12">
        <f>VLOOKUP(A63,'Données projet'!$A$191:$I$211,9,0)</f>
        <v>16.2</v>
      </c>
      <c r="EI63" s="12">
        <f t="array" ref="EI63">INDEX(EH:EH,MIN(IF(ISNUMBER(EH63:EH259),ROW(EH63:EH259),"")))</f>
        <v>16.2</v>
      </c>
      <c r="EJ63" s="12">
        <f>IF('Données projet'!$A$192&gt;35,EJ62+EI63-ER62,IF(A63&lt;'Données projet'!$A$192,$EG$205^A63,IF(A63='Données projet'!$A$192,'Données projet'!$B$192,EJ62+EI63-ER62)))</f>
        <v>562.99999999999989</v>
      </c>
      <c r="EK63" s="17">
        <f>EJ63*VLOOKUP('Données projet'!$B$15,Paramètres!$A$1:$I$89,3,0)*VLOOKUP('Données projet'!$B$15,Paramètres!$A$1:$I$89,5,0)</f>
        <v>314.71699999999993</v>
      </c>
      <c r="EL63" s="13">
        <f t="shared" si="45"/>
        <v>74.253060032718466</v>
      </c>
      <c r="EM63" s="20">
        <f t="shared" si="19"/>
        <v>677.45618789031789</v>
      </c>
      <c r="EN63" s="59">
        <f t="shared" si="20"/>
        <v>970.78952122365126</v>
      </c>
      <c r="EO63" s="59">
        <f ca="1">AVERAGE(OFFSET($EN$3,0,0,'Données projet'!$E$15+1,1))-AVERAGE(OFFSET($H$3,0,0,'Données projet'!$E$15+1,1))</f>
        <v>326.31232746914907</v>
      </c>
      <c r="EP63" s="59">
        <f t="shared" si="46"/>
        <v>330.17137761430297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83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2.5217101466323926</v>
      </c>
      <c r="EW63" s="21">
        <f>EXP(-LN(2)/25)*EW62+(1-EXP(-LN(2)/25))/(LN(2)/25)*Calculateur!ER63*Calculateur!ET63*VLOOKUP('Données projet'!$B$15,Paramètres!$A$1:$I$89,3,0)*0.475*44/12</f>
        <v>13.133538555739289</v>
      </c>
      <c r="EX63" s="21">
        <f>EXP(-LN(2)/2)*EX62+(1-EXP(-LN(2)/2))/(LN(2)/2)*ER63*EU63*VLOOKUP('Données projet'!$B$15,Paramètres!$A$1:$I$89,3,0)*0.475*44/12</f>
        <v>9.9249537263291143E-4</v>
      </c>
      <c r="EY63" s="22">
        <f t="shared" si="21"/>
        <v>15.656241197744315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404</v>
      </c>
      <c r="FC63" s="12">
        <f>VLOOKUP(A63,'Données projet'!$A$217:$I$237,9,0)</f>
        <v>10</v>
      </c>
      <c r="FD63" s="12">
        <f t="array" ref="FD63">INDEX(FC:FC,MIN(IF(ISNUMBER(FC63:FC259),ROW(FC63:FC259),"")))</f>
        <v>10</v>
      </c>
      <c r="FE63" s="12">
        <f>IF('Données projet'!$A$218&gt;35,FE62+FD63-FM62,IF(A63&lt;'Données projet'!$A$218,$FB$205^A63,IF(A63='Données projet'!$A$218,'Données projet'!$B$218,FE62+FD63-FM62)))</f>
        <v>403.99999999999989</v>
      </c>
      <c r="FF63" s="17">
        <f>FE63*VLOOKUP('Données projet'!$B$16,Paramètres!$A$1:$I$89,3,0)*VLOOKUP('Données projet'!$B$16,Paramètres!$A$1:$I$89,5,0)</f>
        <v>252.09599999999992</v>
      </c>
      <c r="FG63" s="13">
        <f t="shared" si="47"/>
        <v>61.034549381925906</v>
      </c>
      <c r="FH63" s="20">
        <f t="shared" si="22"/>
        <v>545.36904017352083</v>
      </c>
      <c r="FI63" s="59">
        <f t="shared" si="23"/>
        <v>838.7023735068542</v>
      </c>
      <c r="FJ63" s="59">
        <f ca="1">AVERAGE(OFFSET($FI$3,0,0,'Données projet'!$E$16+1,1))-AVERAGE(OFFSET($H$3,0,0,'Données projet'!$E$16+1,1))</f>
        <v>255.41017495879987</v>
      </c>
      <c r="FK63" s="59">
        <f t="shared" si="48"/>
        <v>297.50513563712764</v>
      </c>
      <c r="FL63" s="15">
        <f>IF(ISNA(VLOOKUP(A63,'Données projet'!$A$217:$I$237,3,0)),0,VLOOKUP(A63,'Données projet'!$A$217:$I$237,3,0))</f>
        <v>5</v>
      </c>
      <c r="FM63" s="15">
        <f>IF(ISNA(VLOOKUP(A63,'Données projet'!$A$217:$I$237,4,0)),0,VLOOKUP(A63,'Données projet'!$A$217:$I$237,4,0))</f>
        <v>55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4.6062527837006044</v>
      </c>
      <c r="FR63" s="21">
        <f>EXP(-LN(2)/25)*FR62+(1-EXP(-LN(2)/25))/(LN(2)/25)*Calculateur!FM63*Calculateur!FO63*VLOOKUP('Données projet'!$B$16,Paramètres!$A$1:$I$89,3,0)*0.475*44/12</f>
        <v>12.131064516903288</v>
      </c>
      <c r="FS63" s="21">
        <f>EXP(-LN(2)/2)*FS62+(1-EXP(-LN(2)/2))/(LN(2)/2)*FM63*FP63*VLOOKUP('Données projet'!$B$16,Paramètres!$A$1:$I$89,3,0)*0.475*44/12</f>
        <v>7.4466525686376587E-4</v>
      </c>
      <c r="FT63" s="22">
        <f t="shared" si="24"/>
        <v>16.738061965860755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447</v>
      </c>
      <c r="FX63" s="12">
        <f>VLOOKUP(A63,'Données projet'!$A$243:$I$263,9,0)</f>
        <v>12.8</v>
      </c>
      <c r="FY63" s="12">
        <f t="array" ref="FY63">INDEX(FX:FX,MIN(IF(ISNUMBER(FX63:FX259),ROW(FX63:FX259),"")))</f>
        <v>12.8</v>
      </c>
      <c r="FZ63" s="12">
        <f>IF('Données projet'!$A$244&gt;35,FZ62+FY63-GH62,IF(A63&lt;'Données projet'!$A$244,$FW$205^A63,IF(A63='Données projet'!$A$244,'Données projet'!$B$244,FZ62+FY63-GH62)))</f>
        <v>447.00000000000028</v>
      </c>
      <c r="GA63" s="17">
        <f>FZ63*VLOOKUP('Données projet'!$B$17,Paramètres!$A$1:$I$89,3,0)*VLOOKUP('Données projet'!$B$17,Paramètres!$A$1:$I$89,5,0)</f>
        <v>267.30600000000021</v>
      </c>
      <c r="GB63" s="13">
        <f t="shared" si="49"/>
        <v>64.27720124631206</v>
      </c>
      <c r="GC63" s="20">
        <f t="shared" si="25"/>
        <v>577.50740883732726</v>
      </c>
      <c r="GD63" s="59">
        <f t="shared" si="26"/>
        <v>870.84074217066063</v>
      </c>
      <c r="GE63" s="59">
        <f ca="1">AVERAGE(OFFSET($GD$3,0,0,'Données projet'!$E$17+1,1))-AVERAGE(OFFSET($H$3,0,0,'Données projet'!$E$17+1,1))</f>
        <v>259.30247982593914</v>
      </c>
      <c r="GF63" s="59">
        <f t="shared" si="50"/>
        <v>275.24740346220779</v>
      </c>
      <c r="GG63" s="15">
        <f>IF(ISNA(VLOOKUP(A63,'Données projet'!$A$243:$I$263,3,0)),0,VLOOKUP(A63,'Données projet'!$A$243:$I$263,3,0))</f>
        <v>5</v>
      </c>
      <c r="GH63" s="15">
        <f>IF(ISNA(VLOOKUP(A63,'Données projet'!$A$243:$I$263,4,0)),0,VLOOKUP(A63,'Données projet'!$A$243:$I$263,4,0))</f>
        <v>64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7.8493248264660407</v>
      </c>
      <c r="GN63" s="21">
        <f>EXP(-LN(2)/2)*GN62+(1-EXP(-LN(2)/2))/(LN(2)/2)*GH63*GK63*VLOOKUP('Données projet'!$B$17,Paramètres!$A$1:$I$89,3,0)*0.475*44/12</f>
        <v>8.7525848943679921E-4</v>
      </c>
      <c r="GO63" s="21">
        <f t="shared" si="27"/>
        <v>7.8502000849554774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258</v>
      </c>
      <c r="GS63" s="12">
        <f>VLOOKUP(A63,'Données projet'!$A$269:$I$289,9,0)</f>
        <v>5.6</v>
      </c>
      <c r="GT63" s="12">
        <f t="array" ref="GT63">INDEX(GS:GS,MIN(IF(ISNUMBER(GS63:GS259),ROW(GS63:GS259),"")))</f>
        <v>5.6</v>
      </c>
      <c r="GU63" s="12">
        <f>IF('Données projet'!$A$270&gt;35,GU62+GT63-HC62,IF(A63&lt;'Données projet'!$A$270,$GR$205^A63,IF(A63='Données projet'!$A$270,'Données projet'!$B$270,GU62+GT63-HC62)))</f>
        <v>257.99999999999972</v>
      </c>
      <c r="GV63" s="17">
        <f>GU63*VLOOKUP('Données projet'!$B$18,Paramètres!$A$1:$I$89,3,0)*VLOOKUP('Données projet'!$B$18,Paramètres!$A$1:$I$89,5,0)</f>
        <v>205.26479999999981</v>
      </c>
      <c r="GW63" s="13">
        <f t="shared" si="51"/>
        <v>50.899455886133694</v>
      </c>
      <c r="GX63" s="20">
        <f t="shared" si="28"/>
        <v>446.15274566834916</v>
      </c>
      <c r="GY63" s="59">
        <f t="shared" si="29"/>
        <v>739.48607900168247</v>
      </c>
      <c r="GZ63" s="59">
        <f ca="1">AVERAGE(OFFSET($GY$3,0,0,'Données projet'!$E$18+1,1))-AVERAGE(OFFSET($H$3,0,0,'Données projet'!$E$18+1,1))</f>
        <v>199.58763537752952</v>
      </c>
      <c r="HA63" s="59">
        <f t="shared" si="52"/>
        <v>242.62852778451929</v>
      </c>
      <c r="HB63" s="15">
        <f>IF(ISNA(VLOOKUP(A63,'Données projet'!$A$269:$I$289,3,0)),0,VLOOKUP(A63,'Données projet'!$A$269:$I$289,3,0))</f>
        <v>5</v>
      </c>
      <c r="HC63" s="15">
        <f>IF(ISNA(VLOOKUP(A63,'Données projet'!$A$269:$I$289,4,0)),0,VLOOKUP(A63,'Données projet'!$A$269:$I$289,4,0))</f>
        <v>25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0</v>
      </c>
      <c r="HH63" s="21">
        <f>EXP(-LN(2)/25)*HH62+(1-EXP(-LN(2)/25))/(LN(2)/25)*Calculateur!HC63*Calculateur!HE63*VLOOKUP('Données projet'!$B$18,Paramètres!$A$1:$I$89,3,0)*0.475*44/12</f>
        <v>4.4759254789036254</v>
      </c>
      <c r="HI63" s="21">
        <f>EXP(-LN(2)/2)*HI62+(1-EXP(-LN(2)/2))/(LN(2)/2)*HC63*HF63*VLOOKUP('Données projet'!$B$18,Paramètres!$A$1:$I$89,3,0)*0.475*44/12</f>
        <v>3.2841669901184753E-4</v>
      </c>
      <c r="HJ63" s="22">
        <f t="shared" si="30"/>
        <v>4.4762538956026372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200.00000000000017</v>
      </c>
      <c r="O64" s="13">
        <f>N64*VLOOKUP('Données projet'!$B$9,Paramètres!$A$1:$I$89,3,0)*VLOOKUP('Données projet'!$B$9,Paramètres!$A$1:$I$89,5,0)</f>
        <v>180.96000000000015</v>
      </c>
      <c r="P64" s="13">
        <f t="shared" si="33"/>
        <v>45.535702314871806</v>
      </c>
      <c r="Q64" s="20">
        <f t="shared" si="53"/>
        <v>394.48001486506865</v>
      </c>
      <c r="R64" s="59">
        <f t="shared" si="0"/>
        <v>687.81334819840197</v>
      </c>
      <c r="S64" s="59">
        <f ca="1">AVERAGE(OFFSET($R$3,0,0,'Données projet'!$E$9+1,1))-AVERAGE(OFFSET($H$3,0,0,'Données projet'!$E$9+1,1))</f>
        <v>237.22177246688199</v>
      </c>
      <c r="T64" s="59">
        <f t="shared" si="34"/>
        <v>149.27472147904302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1.3149692940218327</v>
      </c>
      <c r="AB64" s="21">
        <f>EXP(-LN(2)/2)*AB63+(1-EXP(-LN(2)/2))/(LN(2)/2)*V64*Y64*VLOOKUP('Données projet'!$B$9,Paramètres!$A$1:$I$89,3,0)*0.475*44/12</f>
        <v>1.3356109127773283E-4</v>
      </c>
      <c r="AC64" s="22">
        <f t="shared" si="3"/>
        <v>1.3151028551131105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200.00000000000017</v>
      </c>
      <c r="AJ64" s="13">
        <f>AI64*VLOOKUP('Données projet'!$B$10,Paramètres!$A$1:$I$89,3,0)*VLOOKUP('Données projet'!$B$10,Paramètres!$A$1:$I$89,5,0)</f>
        <v>202.80000000000018</v>
      </c>
      <c r="AK64" s="13">
        <f t="shared" si="35"/>
        <v>50.359024179354016</v>
      </c>
      <c r="AL64" s="20">
        <f t="shared" si="4"/>
        <v>440.91863377904184</v>
      </c>
      <c r="AM64" s="59">
        <f t="shared" si="5"/>
        <v>734.25196711237516</v>
      </c>
      <c r="AN64" s="59">
        <f ca="1">AVERAGE(OFFSET($AM$3,0,0,'Données projet'!$E$10+1,1))-AVERAGE(OFFSET($H$3,0,0,'Données projet'!$E$10+1,1))</f>
        <v>279.20364724206644</v>
      </c>
      <c r="AO64" s="59">
        <f t="shared" si="36"/>
        <v>173.99850582760712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1.4736724846796401</v>
      </c>
      <c r="AW64" s="21">
        <f>EXP(-LN(2)/2)*AW63+(1-EXP(-LN(2)/2))/(LN(2)/2)*AQ64*AT64*VLOOKUP('Données projet'!$B$10,Paramètres!$A$1:$I$89,3,0)*0.475*44/12</f>
        <v>1.4968053332849366E-4</v>
      </c>
      <c r="AX64" s="21">
        <f t="shared" si="6"/>
        <v>1.4738221652129686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15.5</v>
      </c>
      <c r="BD64" s="12">
        <f>IF('Données projet'!$A$88&gt;35,BD63+BC64-BL63,IF(A64&lt;'Données projet'!$A$88,$BA$205^A64,IF(A64='Données projet'!$A$88,'Données projet'!$B$88,BD63+BC64-BL63)))</f>
        <v>306.89999999999986</v>
      </c>
      <c r="BE64" s="13">
        <f>BD64*VLOOKUP('Données projet'!$B$11,Paramètres!$A$1:$I$89,3,0)*VLOOKUP('Données projet'!$B$11,Paramètres!$A$1:$I$89,5,0)</f>
        <v>143.62919999999994</v>
      </c>
      <c r="BF64" s="13">
        <f t="shared" si="37"/>
        <v>37.127161849234348</v>
      </c>
      <c r="BG64" s="20">
        <f t="shared" si="7"/>
        <v>314.81733022074968</v>
      </c>
      <c r="BH64" s="59">
        <f t="shared" si="8"/>
        <v>608.15066355408294</v>
      </c>
      <c r="BI64" s="59">
        <f ca="1">AVERAGE(OFFSET($BH$3,0,0,'Données projet'!$E$11+1,1))-AVERAGE(OFFSET($H$3,0,0,'Données projet'!$E$11+1,1))</f>
        <v>215.23235148064941</v>
      </c>
      <c r="BJ64" s="59">
        <f t="shared" si="38"/>
        <v>184.07239726900434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1.6964966742988374</v>
      </c>
      <c r="BQ64" s="21">
        <f>EXP(-LN(2)/25)*BQ63+(1-EXP(-LN(2)/25))/(LN(2)/25)*Calculateur!BL64*Calculateur!BN64*VLOOKUP('Données projet'!$B$11,Paramètres!$A$1:$I$89,3,0)*0.475*44/12</f>
        <v>3.3257888090873466</v>
      </c>
      <c r="BR64" s="21">
        <f>EXP(-LN(2)/2)*BR63+(1-EXP(-LN(2)/2))/(LN(2)/2)*BL64*BO64*VLOOKUP('Données projet'!$B$11,Paramètres!$A$1:$I$89,3,0)*0.475*44/12</f>
        <v>2.1217036935547415E-4</v>
      </c>
      <c r="BS64" s="22">
        <f t="shared" si="9"/>
        <v>5.0224976537555399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</v>
      </c>
      <c r="BY64" s="12">
        <f>IF('Données projet'!$A$114&gt;35,BY63+BX64-CG63,IF(A64&lt;'Données projet'!$A$114,$BV$205^A64,IF(A64='Données projet'!$A$114,'Données projet'!$B$114,BY63+BX64-CG63)))</f>
        <v>200.00000000000017</v>
      </c>
      <c r="BZ64" s="13">
        <f>BY64*VLOOKUP('Données projet'!$B$12,Paramètres!$A$1:$I$89,3,0)*VLOOKUP('Données projet'!$B$12,Paramètres!$A$1:$I$89,5,0)</f>
        <v>215.28000000000017</v>
      </c>
      <c r="CA64" s="13">
        <f t="shared" si="39"/>
        <v>53.08772574085318</v>
      </c>
      <c r="CB64" s="20">
        <f t="shared" si="10"/>
        <v>467.40712233198627</v>
      </c>
      <c r="CC64" s="59">
        <f t="shared" si="11"/>
        <v>760.74045566531959</v>
      </c>
      <c r="CD64" s="59">
        <f ca="1">AVERAGE(OFFSET($CC$3,0,0,'Données projet'!$E$12+1,1))-AVERAGE(OFFSET($H$3,0,0,'Données projet'!$E$12+1,1))</f>
        <v>303.1504619632214</v>
      </c>
      <c r="CE64" s="59">
        <f t="shared" si="40"/>
        <v>188.09929616366503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1.5643600221983873</v>
      </c>
      <c r="CM64" s="21">
        <f>EXP(-LN(2)/2)*CM63+(1-EXP(-LN(2)/2))/(LN(2)/2)*CG64*CJ64*VLOOKUP('Données projet'!$B$12,Paramètres!$A$1:$I$89,3,0)*0.475*44/12</f>
        <v>1.5889164307178588E-4</v>
      </c>
      <c r="CN64" s="22">
        <f t="shared" si="12"/>
        <v>1.564518913841459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4.0999999999999996</v>
      </c>
      <c r="CT64" s="12">
        <f>IF('Données projet'!$A$140&gt;35,CT63+CS64-DB63,IF(A64&lt;'Données projet'!$A$140,$CQ$205^A64,IF(A64='Données projet'!$A$140,'Données projet'!$B$140,CT63+CS64-DB63)))</f>
        <v>237.09999999999974</v>
      </c>
      <c r="CU64" s="17">
        <f>CT64*VLOOKUP('Données projet'!$B$13,Paramètres!$A$1:$I$89,3,0)*VLOOKUP('Données projet'!$B$13,Paramètres!$A$1:$I$89,5,0)</f>
        <v>159.04667999999984</v>
      </c>
      <c r="CV64" s="13">
        <f t="shared" si="41"/>
        <v>40.627416689910589</v>
      </c>
      <c r="CW64" s="20">
        <f t="shared" si="13"/>
        <v>347.76571840159392</v>
      </c>
      <c r="CX64" s="59">
        <f t="shared" si="14"/>
        <v>641.09905173492723</v>
      </c>
      <c r="CY64" s="59">
        <f ca="1">AVERAGE(OFFSET($CX$3,0,0,'Données projet'!$E$13+1,1))-AVERAGE(OFFSET($H$3,0,0,'Données projet'!$E$13+1,1))</f>
        <v>156.63226020379989</v>
      </c>
      <c r="CZ64" s="59">
        <f t="shared" si="42"/>
        <v>196.0481096619543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3.6706242281585411</v>
      </c>
      <c r="DH64" s="21">
        <f>EXP(-LN(2)/2)*DH63+(1-EXP(-LN(2)/2))/(LN(2)/2)*DB64*DE64*VLOOKUP('Données projet'!$B$13,Paramètres!$A$1:$I$89,3,0)*0.475*44/12</f>
        <v>1.9579811807501324E-4</v>
      </c>
      <c r="DI64" s="22">
        <f t="shared" si="15"/>
        <v>3.670820026276616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-8.5265128291212022E-14</v>
      </c>
      <c r="DP64" s="17">
        <f>DO64*VLOOKUP('Données projet'!$B$14,Paramètres!$A$1:$I$89,3,0)*VLOOKUP('Données projet'!$B$14,Paramètres!$A$1:$I$89,5,0)</f>
        <v>-7.7147888077888636E-14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225.28075317732998</v>
      </c>
      <c r="DU64" s="59">
        <f t="shared" si="44"/>
        <v>358.43407531256207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1.2142389743254596</v>
      </c>
      <c r="EB64" s="21">
        <f>EXP(-LN(2)/25)*EB63+(1-EXP(-LN(2)/25))/(LN(2)/25)*Calculateur!DW64*Calculateur!DY64*VLOOKUP('Données projet'!$B$14,Paramètres!$A$1:$I$89,3,0)*0.475*44/12</f>
        <v>3.5021626087194861</v>
      </c>
      <c r="EC64" s="21">
        <f>EXP(-LN(2)/2)*EC63+(1-EXP(-LN(2)/2))/(LN(2)/2)*DW64*DZ64*VLOOKUP('Données projet'!$B$14,Paramètres!$A$1:$I$89,3,0)*0.475*44/12</f>
        <v>9.5250984579332138E-5</v>
      </c>
      <c r="ED64" s="22">
        <f t="shared" si="18"/>
        <v>4.7164968340295257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13.4</v>
      </c>
      <c r="EJ64" s="12">
        <f>IF('Données projet'!$A$192&gt;35,EJ63+EI64-ER63,IF(A64&lt;'Données projet'!$A$192,$EG$205^A64,IF(A64='Données projet'!$A$192,'Données projet'!$B$192,EJ63+EI64-ER63)))</f>
        <v>493.39999999999986</v>
      </c>
      <c r="EK64" s="17">
        <f>EJ64*VLOOKUP('Données projet'!$B$15,Paramètres!$A$1:$I$89,3,0)*VLOOKUP('Données projet'!$B$15,Paramètres!$A$1:$I$89,5,0)</f>
        <v>275.81059999999997</v>
      </c>
      <c r="EL64" s="13">
        <f t="shared" si="45"/>
        <v>66.080892951487996</v>
      </c>
      <c r="EM64" s="20">
        <f t="shared" si="19"/>
        <v>595.46101689050818</v>
      </c>
      <c r="EN64" s="59">
        <f t="shared" si="20"/>
        <v>888.79435022384155</v>
      </c>
      <c r="EO64" s="59">
        <f ca="1">AVERAGE(OFFSET($EN$3,0,0,'Données projet'!$E$15+1,1))-AVERAGE(OFFSET($H$3,0,0,'Données projet'!$E$15+1,1))</f>
        <v>326.31232746914907</v>
      </c>
      <c r="EP64" s="59">
        <f t="shared" si="46"/>
        <v>330.17137761430297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2.472260948748247</v>
      </c>
      <c r="EW64" s="21">
        <f>EXP(-LN(2)/25)*EW63+(1-EXP(-LN(2)/25))/(LN(2)/25)*Calculateur!ER64*Calculateur!ET64*VLOOKUP('Données projet'!$B$15,Paramètres!$A$1:$I$89,3,0)*0.475*44/12</f>
        <v>12.774401253269822</v>
      </c>
      <c r="EX64" s="21">
        <f>EXP(-LN(2)/2)*EX63+(1-EXP(-LN(2)/2))/(LN(2)/2)*ER64*EU64*VLOOKUP('Données projet'!$B$15,Paramètres!$A$1:$I$89,3,0)*0.475*44/12</f>
        <v>7.0180020828500105E-4</v>
      </c>
      <c r="EY64" s="22">
        <f t="shared" si="21"/>
        <v>15.247364002226353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7.8</v>
      </c>
      <c r="FE64" s="12">
        <f>IF('Données projet'!$A$218&gt;35,FE63+FD64-FM63,IF(A64&lt;'Données projet'!$A$218,$FB$205^A64,IF(A64='Données projet'!$A$218,'Données projet'!$B$218,FE63+FD64-FM63)))</f>
        <v>356.7999999999999</v>
      </c>
      <c r="FF64" s="17">
        <f>FE64*VLOOKUP('Données projet'!$B$16,Paramètres!$A$1:$I$89,3,0)*VLOOKUP('Données projet'!$B$16,Paramètres!$A$1:$I$89,5,0)</f>
        <v>222.64319999999995</v>
      </c>
      <c r="FG64" s="13">
        <f t="shared" si="47"/>
        <v>54.688972258092875</v>
      </c>
      <c r="FH64" s="20">
        <f t="shared" si="22"/>
        <v>483.02020001617831</v>
      </c>
      <c r="FI64" s="59">
        <f t="shared" si="23"/>
        <v>776.35353334951162</v>
      </c>
      <c r="FJ64" s="59">
        <f ca="1">AVERAGE(OFFSET($FI$3,0,0,'Données projet'!$E$16+1,1))-AVERAGE(OFFSET($H$3,0,0,'Données projet'!$E$16+1,1))</f>
        <v>255.41017495879987</v>
      </c>
      <c r="FK64" s="59">
        <f t="shared" si="48"/>
        <v>297.50513563712764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4.5159269761490153</v>
      </c>
      <c r="FR64" s="21">
        <f>EXP(-LN(2)/25)*FR63+(1-EXP(-LN(2)/25))/(LN(2)/25)*Calculateur!FM64*Calculateur!FO64*VLOOKUP('Données projet'!$B$16,Paramètres!$A$1:$I$89,3,0)*0.475*44/12</f>
        <v>11.799339919743611</v>
      </c>
      <c r="FS64" s="21">
        <f>EXP(-LN(2)/2)*FS63+(1-EXP(-LN(2)/2))/(LN(2)/2)*FM64*FP64*VLOOKUP('Données projet'!$B$16,Paramètres!$A$1:$I$89,3,0)*0.475*44/12</f>
        <v>5.2655785284239109E-4</v>
      </c>
      <c r="FT64" s="22">
        <f t="shared" si="24"/>
        <v>16.315793453745471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10.7</v>
      </c>
      <c r="FZ64" s="12">
        <f>IF('Données projet'!$A$244&gt;35,FZ63+FY64-GH63,IF(A64&lt;'Données projet'!$A$244,$FW$205^A64,IF(A64='Données projet'!$A$244,'Données projet'!$B$244,FZ63+FY64-GH63)))</f>
        <v>393.70000000000027</v>
      </c>
      <c r="GA64" s="17">
        <f>FZ64*VLOOKUP('Données projet'!$B$17,Paramètres!$A$1:$I$89,3,0)*VLOOKUP('Données projet'!$B$17,Paramètres!$A$1:$I$89,5,0)</f>
        <v>235.43260000000021</v>
      </c>
      <c r="GB64" s="13">
        <f t="shared" si="49"/>
        <v>57.455735904492705</v>
      </c>
      <c r="GC64" s="20">
        <f t="shared" si="25"/>
        <v>510.11385170032509</v>
      </c>
      <c r="GD64" s="59">
        <f t="shared" si="26"/>
        <v>803.44718503365834</v>
      </c>
      <c r="GE64" s="59">
        <f ca="1">AVERAGE(OFFSET($GD$3,0,0,'Données projet'!$E$17+1,1))-AVERAGE(OFFSET($H$3,0,0,'Données projet'!$E$17+1,1))</f>
        <v>259.30247982593914</v>
      </c>
      <c r="GF64" s="59">
        <f t="shared" si="50"/>
        <v>275.24740346220779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7.6346846263082737</v>
      </c>
      <c r="GN64" s="21">
        <f>EXP(-LN(2)/2)*GN63+(1-EXP(-LN(2)/2))/(LN(2)/2)*GH64*GK64*VLOOKUP('Données projet'!$B$17,Paramètres!$A$1:$I$89,3,0)*0.475*44/12</f>
        <v>6.1890121317185489E-4</v>
      </c>
      <c r="GO64" s="21">
        <f t="shared" si="27"/>
        <v>7.6353035275214456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4.0999999999999996</v>
      </c>
      <c r="GU64" s="12">
        <f>IF('Données projet'!$A$270&gt;35,GU63+GT64-HC63,IF(A64&lt;'Données projet'!$A$270,$GR$205^A64,IF(A64='Données projet'!$A$270,'Données projet'!$B$270,GU63+GT64-HC63)))</f>
        <v>237.09999999999974</v>
      </c>
      <c r="GV64" s="17">
        <f>GU64*VLOOKUP('Données projet'!$B$18,Paramètres!$A$1:$I$89,3,0)*VLOOKUP('Données projet'!$B$18,Paramètres!$A$1:$I$89,5,0)</f>
        <v>188.63675999999978</v>
      </c>
      <c r="GW64" s="13">
        <f t="shared" si="51"/>
        <v>47.238433649202641</v>
      </c>
      <c r="GX64" s="20">
        <f t="shared" si="28"/>
        <v>410.81596227236088</v>
      </c>
      <c r="GY64" s="59">
        <f t="shared" si="29"/>
        <v>704.14929560569419</v>
      </c>
      <c r="GZ64" s="59">
        <f ca="1">AVERAGE(OFFSET($GY$3,0,0,'Données projet'!$E$18+1,1))-AVERAGE(OFFSET($H$3,0,0,'Données projet'!$E$18+1,1))</f>
        <v>199.58763537752952</v>
      </c>
      <c r="HA64" s="59">
        <f t="shared" si="52"/>
        <v>242.62852778451929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0</v>
      </c>
      <c r="HH64" s="21">
        <f>EXP(-LN(2)/25)*HH63+(1-EXP(-LN(2)/25))/(LN(2)/25)*Calculateur!HC64*Calculateur!HE64*VLOOKUP('Données projet'!$B$18,Paramètres!$A$1:$I$89,3,0)*0.475*44/12</f>
        <v>4.3535310613043148</v>
      </c>
      <c r="HI64" s="21">
        <f>EXP(-LN(2)/2)*HI63+(1-EXP(-LN(2)/2))/(LN(2)/2)*HC64*HF64*VLOOKUP('Données projet'!$B$18,Paramètres!$A$1:$I$89,3,0)*0.475*44/12</f>
        <v>2.3222567492617871E-4</v>
      </c>
      <c r="HJ64" s="22">
        <f t="shared" si="30"/>
        <v>4.3537632869792411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207.00000000000017</v>
      </c>
      <c r="O65" s="13">
        <f>N65*VLOOKUP('Données projet'!$B$9,Paramètres!$A$1:$I$89,3,0)*VLOOKUP('Données projet'!$B$9,Paramètres!$A$1:$I$89,5,0)</f>
        <v>187.29360000000014</v>
      </c>
      <c r="P65" s="13">
        <f t="shared" si="33"/>
        <v>46.941107550760456</v>
      </c>
      <c r="Q65" s="20">
        <f t="shared" si="53"/>
        <v>407.95878231757462</v>
      </c>
      <c r="R65" s="59">
        <f t="shared" si="0"/>
        <v>701.29211565090793</v>
      </c>
      <c r="S65" s="59">
        <f ca="1">AVERAGE(OFFSET($R$3,0,0,'Données projet'!$E$9+1,1))-AVERAGE(OFFSET($H$3,0,0,'Données projet'!$E$9+1,1))</f>
        <v>237.22177246688199</v>
      </c>
      <c r="T65" s="59">
        <f t="shared" si="34"/>
        <v>149.27472147904302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1.2790113895255759</v>
      </c>
      <c r="AB65" s="21">
        <f>EXP(-LN(2)/2)*AB64+(1-EXP(-LN(2)/2))/(LN(2)/2)*V65*Y65*VLOOKUP('Données projet'!$B$9,Paramètres!$A$1:$I$89,3,0)*0.475*44/12</f>
        <v>9.4441953345160328E-5</v>
      </c>
      <c r="AC65" s="22">
        <f t="shared" si="3"/>
        <v>1.279105831478921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207.00000000000017</v>
      </c>
      <c r="AJ65" s="13">
        <f>AI65*VLOOKUP('Données projet'!$B$10,Paramètres!$A$1:$I$89,3,0)*VLOOKUP('Données projet'!$B$10,Paramètres!$A$1:$I$89,5,0)</f>
        <v>209.8980000000002</v>
      </c>
      <c r="AK65" s="13">
        <f t="shared" si="35"/>
        <v>51.913295501810261</v>
      </c>
      <c r="AL65" s="20">
        <f t="shared" si="4"/>
        <v>455.9880063323198</v>
      </c>
      <c r="AM65" s="59">
        <f t="shared" si="5"/>
        <v>749.32133966565311</v>
      </c>
      <c r="AN65" s="59">
        <f ca="1">AVERAGE(OFFSET($AM$3,0,0,'Données projet'!$E$10+1,1))-AVERAGE(OFFSET($H$3,0,0,'Données projet'!$E$10+1,1))</f>
        <v>279.20364724206644</v>
      </c>
      <c r="AO65" s="59">
        <f t="shared" si="36"/>
        <v>173.99850582760712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1.4333748330890075</v>
      </c>
      <c r="AW65" s="21">
        <f>EXP(-LN(2)/2)*AW64+(1-EXP(-LN(2)/2))/(LN(2)/2)*AQ65*AT65*VLOOKUP('Données projet'!$B$10,Paramètres!$A$1:$I$89,3,0)*0.475*44/12</f>
        <v>1.058401201281969E-4</v>
      </c>
      <c r="AX65" s="21">
        <f t="shared" si="6"/>
        <v>1.4334806732091356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15.5</v>
      </c>
      <c r="BD65" s="12">
        <f>IF('Données projet'!$A$88&gt;35,BD64+BC65-BL64,IF(A65&lt;'Données projet'!$A$88,$BA$205^A65,IF(A65='Données projet'!$A$88,'Données projet'!$B$88,BD64+BC65-BL64)))</f>
        <v>322.39999999999986</v>
      </c>
      <c r="BE65" s="13">
        <f>BD65*VLOOKUP('Données projet'!$B$11,Paramètres!$A$1:$I$89,3,0)*VLOOKUP('Données projet'!$B$11,Paramètres!$A$1:$I$89,5,0)</f>
        <v>150.88319999999993</v>
      </c>
      <c r="BF65" s="13">
        <f t="shared" si="37"/>
        <v>38.779227360583164</v>
      </c>
      <c r="BG65" s="20">
        <f t="shared" si="7"/>
        <v>330.32872765301551</v>
      </c>
      <c r="BH65" s="59">
        <f t="shared" si="8"/>
        <v>623.66206098634882</v>
      </c>
      <c r="BI65" s="59">
        <f ca="1">AVERAGE(OFFSET($BH$3,0,0,'Données projet'!$E$11+1,1))-AVERAGE(OFFSET($H$3,0,0,'Données projet'!$E$11+1,1))</f>
        <v>215.23235148064941</v>
      </c>
      <c r="BJ65" s="59">
        <f t="shared" si="38"/>
        <v>184.07239726900434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1.6632294092766344</v>
      </c>
      <c r="BQ65" s="21">
        <f>EXP(-LN(2)/25)*BQ64+(1-EXP(-LN(2)/25))/(LN(2)/25)*Calculateur!BL65*Calculateur!BN65*VLOOKUP('Données projet'!$B$11,Paramètres!$A$1:$I$89,3,0)*0.475*44/12</f>
        <v>3.2348449392072207</v>
      </c>
      <c r="BR65" s="21">
        <f>EXP(-LN(2)/2)*BR64+(1-EXP(-LN(2)/2))/(LN(2)/2)*BL65*BO65*VLOOKUP('Données projet'!$B$11,Paramètres!$A$1:$I$89,3,0)*0.475*44/12</f>
        <v>1.5002710693811023E-4</v>
      </c>
      <c r="BS65" s="22">
        <f t="shared" si="9"/>
        <v>4.898224375590793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</v>
      </c>
      <c r="BY65" s="12">
        <f>IF('Données projet'!$A$114&gt;35,BY64+BX65-CG64,IF(A65&lt;'Données projet'!$A$114,$BV$205^A65,IF(A65='Données projet'!$A$114,'Données projet'!$B$114,BY64+BX65-CG64)))</f>
        <v>207.00000000000017</v>
      </c>
      <c r="BZ65" s="13">
        <f>BY65*VLOOKUP('Données projet'!$B$12,Paramètres!$A$1:$I$89,3,0)*VLOOKUP('Données projet'!$B$12,Paramètres!$A$1:$I$89,5,0)</f>
        <v>222.81480000000016</v>
      </c>
      <c r="CA65" s="13">
        <f t="shared" si="39"/>
        <v>54.726215188137957</v>
      </c>
      <c r="CB65" s="20">
        <f t="shared" si="10"/>
        <v>483.3839347860071</v>
      </c>
      <c r="CC65" s="59">
        <f t="shared" si="11"/>
        <v>776.71726811934036</v>
      </c>
      <c r="CD65" s="59">
        <f ca="1">AVERAGE(OFFSET($CC$3,0,0,'Données projet'!$E$12+1,1))-AVERAGE(OFFSET($H$3,0,0,'Données projet'!$E$12+1,1))</f>
        <v>303.1504619632214</v>
      </c>
      <c r="CE65" s="59">
        <f t="shared" si="40"/>
        <v>188.09929616366503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1.5215825151252542</v>
      </c>
      <c r="CM65" s="21">
        <f>EXP(-LN(2)/2)*CM64+(1-EXP(-LN(2)/2))/(LN(2)/2)*CG65*CJ65*VLOOKUP('Données projet'!$B$12,Paramètres!$A$1:$I$89,3,0)*0.475*44/12</f>
        <v>1.1235335828993231E-4</v>
      </c>
      <c r="CN65" s="22">
        <f t="shared" si="12"/>
        <v>1.5216948684835441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4.0999999999999996</v>
      </c>
      <c r="CT65" s="12">
        <f>IF('Données projet'!$A$140&gt;35,CT64+CS65-DB64,IF(A65&lt;'Données projet'!$A$140,$CQ$205^A65,IF(A65='Données projet'!$A$140,'Données projet'!$B$140,CT64+CS65-DB64)))</f>
        <v>241.19999999999973</v>
      </c>
      <c r="CU65" s="17">
        <f>CT65*VLOOKUP('Données projet'!$B$13,Paramètres!$A$1:$I$89,3,0)*VLOOKUP('Données projet'!$B$13,Paramètres!$A$1:$I$89,5,0)</f>
        <v>161.79695999999981</v>
      </c>
      <c r="CV65" s="13">
        <f t="shared" si="41"/>
        <v>41.247560923222927</v>
      </c>
      <c r="CW65" s="20">
        <f t="shared" si="13"/>
        <v>353.63587394127961</v>
      </c>
      <c r="CX65" s="59">
        <f t="shared" si="14"/>
        <v>646.96920727461293</v>
      </c>
      <c r="CY65" s="59">
        <f ca="1">AVERAGE(OFFSET($CX$3,0,0,'Données projet'!$E$13+1,1))-AVERAGE(OFFSET($H$3,0,0,'Données projet'!$E$13+1,1))</f>
        <v>156.63226020379989</v>
      </c>
      <c r="CZ65" s="59">
        <f t="shared" si="42"/>
        <v>196.0481096619543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3.5702508156098069</v>
      </c>
      <c r="DH65" s="21">
        <f>EXP(-LN(2)/2)*DH64+(1-EXP(-LN(2)/2))/(LN(2)/2)*DB65*DE65*VLOOKUP('Données projet'!$B$13,Paramètres!$A$1:$I$89,3,0)*0.475*44/12</f>
        <v>1.3845017703440618E-4</v>
      </c>
      <c r="DI65" s="22">
        <f t="shared" si="15"/>
        <v>3.5703892657868415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-8.5265128291212022E-14</v>
      </c>
      <c r="DP65" s="17">
        <f>DO65*VLOOKUP('Données projet'!$B$14,Paramètres!$A$1:$I$89,3,0)*VLOOKUP('Données projet'!$B$14,Paramètres!$A$1:$I$89,5,0)</f>
        <v>-7.7147888077888636E-14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225.28075317732998</v>
      </c>
      <c r="DU65" s="59">
        <f t="shared" si="44"/>
        <v>358.43407531256207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1.1904284886515821</v>
      </c>
      <c r="EB65" s="21">
        <f>EXP(-LN(2)/25)*EB64+(1-EXP(-LN(2)/25))/(LN(2)/25)*Calculateur!DW65*Calculateur!DY65*VLOOKUP('Données projet'!$B$14,Paramètres!$A$1:$I$89,3,0)*0.475*44/12</f>
        <v>3.4063957880133247</v>
      </c>
      <c r="EC65" s="21">
        <f>EXP(-LN(2)/2)*EC64+(1-EXP(-LN(2)/2))/(LN(2)/2)*DW65*DZ65*VLOOKUP('Données projet'!$B$14,Paramètres!$A$1:$I$89,3,0)*0.475*44/12</f>
        <v>6.7352617110741023E-5</v>
      </c>
      <c r="ED65" s="22">
        <f t="shared" si="18"/>
        <v>4.5968916292820179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13.4</v>
      </c>
      <c r="EJ65" s="12">
        <f>IF('Données projet'!$A$192&gt;35,EJ64+EI65-ER64,IF(A65&lt;'Données projet'!$A$192,$EG$205^A65,IF(A65='Données projet'!$A$192,'Données projet'!$B$192,EJ64+EI65-ER64)))</f>
        <v>506.79999999999984</v>
      </c>
      <c r="EK65" s="17">
        <f>EJ65*VLOOKUP('Données projet'!$B$15,Paramètres!$A$1:$I$89,3,0)*VLOOKUP('Données projet'!$B$15,Paramètres!$A$1:$I$89,5,0)</f>
        <v>283.30119999999988</v>
      </c>
      <c r="EL65" s="13">
        <f t="shared" si="45"/>
        <v>67.664170722499449</v>
      </c>
      <c r="EM65" s="20">
        <f t="shared" si="19"/>
        <v>611.26468734168623</v>
      </c>
      <c r="EN65" s="59">
        <f t="shared" si="20"/>
        <v>904.5980206750196</v>
      </c>
      <c r="EO65" s="59">
        <f ca="1">AVERAGE(OFFSET($EN$3,0,0,'Données projet'!$E$15+1,1))-AVERAGE(OFFSET($H$3,0,0,'Données projet'!$E$15+1,1))</f>
        <v>326.31232746914907</v>
      </c>
      <c r="EP65" s="59">
        <f t="shared" si="46"/>
        <v>330.17137761430297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2.4237814194735767</v>
      </c>
      <c r="EW65" s="21">
        <f>EXP(-LN(2)/25)*EW64+(1-EXP(-LN(2)/25))/(LN(2)/25)*Calculateur!ER65*Calculateur!ET65*VLOOKUP('Données projet'!$B$15,Paramètres!$A$1:$I$89,3,0)*0.475*44/12</f>
        <v>12.425084579222593</v>
      </c>
      <c r="EX65" s="21">
        <f>EXP(-LN(2)/2)*EX64+(1-EXP(-LN(2)/2))/(LN(2)/2)*ER65*EU65*VLOOKUP('Données projet'!$B$15,Paramètres!$A$1:$I$89,3,0)*0.475*44/12</f>
        <v>4.9624768631645571E-4</v>
      </c>
      <c r="EY65" s="22">
        <f t="shared" si="21"/>
        <v>14.849362246382485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7.8</v>
      </c>
      <c r="FE65" s="12">
        <f>IF('Données projet'!$A$218&gt;35,FE64+FD65-FM64,IF(A65&lt;'Données projet'!$A$218,$FB$205^A65,IF(A65='Données projet'!$A$218,'Données projet'!$B$218,FE64+FD65-FM64)))</f>
        <v>364.59999999999991</v>
      </c>
      <c r="FF65" s="17">
        <f>FE65*VLOOKUP('Données projet'!$B$16,Paramètres!$A$1:$I$89,3,0)*VLOOKUP('Données projet'!$B$16,Paramètres!$A$1:$I$89,5,0)</f>
        <v>227.51039999999995</v>
      </c>
      <c r="FG65" s="13">
        <f t="shared" si="47"/>
        <v>55.7440313076156</v>
      </c>
      <c r="FH65" s="20">
        <f t="shared" si="22"/>
        <v>493.33480119409711</v>
      </c>
      <c r="FI65" s="59">
        <f t="shared" si="23"/>
        <v>786.66813452743042</v>
      </c>
      <c r="FJ65" s="59">
        <f ca="1">AVERAGE(OFFSET($FI$3,0,0,'Données projet'!$E$16+1,1))-AVERAGE(OFFSET($H$3,0,0,'Données projet'!$E$16+1,1))</f>
        <v>255.41017495879987</v>
      </c>
      <c r="FK65" s="59">
        <f t="shared" si="48"/>
        <v>297.50513563712764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4.4273724025902101</v>
      </c>
      <c r="FR65" s="21">
        <f>EXP(-LN(2)/25)*FR64+(1-EXP(-LN(2)/25))/(LN(2)/25)*Calculateur!FM65*Calculateur!FO65*VLOOKUP('Données projet'!$B$16,Paramètres!$A$1:$I$89,3,0)*0.475*44/12</f>
        <v>11.476686349137903</v>
      </c>
      <c r="FS65" s="21">
        <f>EXP(-LN(2)/2)*FS64+(1-EXP(-LN(2)/2))/(LN(2)/2)*FM65*FP65*VLOOKUP('Données projet'!$B$16,Paramètres!$A$1:$I$89,3,0)*0.475*44/12</f>
        <v>3.7233262843188293E-4</v>
      </c>
      <c r="FT65" s="22">
        <f t="shared" si="24"/>
        <v>15.904431084356546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10.7</v>
      </c>
      <c r="FZ65" s="12">
        <f>IF('Données projet'!$A$244&gt;35,FZ64+FY65-GH64,IF(A65&lt;'Données projet'!$A$244,$FW$205^A65,IF(A65='Données projet'!$A$244,'Données projet'!$B$244,FZ64+FY65-GH64)))</f>
        <v>404.40000000000026</v>
      </c>
      <c r="GA65" s="17">
        <f>FZ65*VLOOKUP('Données projet'!$B$17,Paramètres!$A$1:$I$89,3,0)*VLOOKUP('Données projet'!$B$17,Paramètres!$A$1:$I$89,5,0)</f>
        <v>241.83120000000017</v>
      </c>
      <c r="GB65" s="13">
        <f t="shared" si="49"/>
        <v>58.833347619210102</v>
      </c>
      <c r="GC65" s="20">
        <f t="shared" si="25"/>
        <v>523.65742043679131</v>
      </c>
      <c r="GD65" s="59">
        <f t="shared" si="26"/>
        <v>816.99075377012468</v>
      </c>
      <c r="GE65" s="59">
        <f ca="1">AVERAGE(OFFSET($GD$3,0,0,'Données projet'!$E$17+1,1))-AVERAGE(OFFSET($H$3,0,0,'Données projet'!$E$17+1,1))</f>
        <v>259.30247982593914</v>
      </c>
      <c r="GF65" s="59">
        <f t="shared" si="50"/>
        <v>275.24740346220779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7.425913773711259</v>
      </c>
      <c r="GN65" s="21">
        <f>EXP(-LN(2)/2)*GN64+(1-EXP(-LN(2)/2))/(LN(2)/2)*GH65*GK65*VLOOKUP('Données projet'!$B$17,Paramètres!$A$1:$I$89,3,0)*0.475*44/12</f>
        <v>4.376292447183996E-4</v>
      </c>
      <c r="GO65" s="21">
        <f t="shared" si="27"/>
        <v>7.4263514029559774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4.0999999999999996</v>
      </c>
      <c r="GU65" s="12">
        <f>IF('Données projet'!$A$270&gt;35,GU64+GT65-HC64,IF(A65&lt;'Données projet'!$A$270,$GR$205^A65,IF(A65='Données projet'!$A$270,'Données projet'!$B$270,GU64+GT65-HC64)))</f>
        <v>241.19999999999973</v>
      </c>
      <c r="GV65" s="17">
        <f>GU65*VLOOKUP('Données projet'!$B$18,Paramètres!$A$1:$I$89,3,0)*VLOOKUP('Données projet'!$B$18,Paramètres!$A$1:$I$89,5,0)</f>
        <v>191.8987199999998</v>
      </c>
      <c r="GW65" s="13">
        <f t="shared" si="51"/>
        <v>47.959489640575512</v>
      </c>
      <c r="GX65" s="20">
        <f t="shared" si="28"/>
        <v>417.7530484573353</v>
      </c>
      <c r="GY65" s="59">
        <f t="shared" si="29"/>
        <v>711.08638179066861</v>
      </c>
      <c r="GZ65" s="59">
        <f ca="1">AVERAGE(OFFSET($GY$3,0,0,'Données projet'!$E$18+1,1))-AVERAGE(OFFSET($H$3,0,0,'Données projet'!$E$18+1,1))</f>
        <v>199.58763537752952</v>
      </c>
      <c r="HA65" s="59">
        <f t="shared" si="52"/>
        <v>242.62852778451929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0</v>
      </c>
      <c r="HH65" s="21">
        <f>EXP(-LN(2)/25)*HH64+(1-EXP(-LN(2)/25))/(LN(2)/25)*Calculateur!HC65*Calculateur!HE65*VLOOKUP('Données projet'!$B$18,Paramètres!$A$1:$I$89,3,0)*0.475*44/12</f>
        <v>4.2344835254906998</v>
      </c>
      <c r="HI65" s="21">
        <f>EXP(-LN(2)/2)*HI64+(1-EXP(-LN(2)/2))/(LN(2)/2)*HC65*HF65*VLOOKUP('Données projet'!$B$18,Paramètres!$A$1:$I$89,3,0)*0.475*44/12</f>
        <v>1.6420834950592377E-4</v>
      </c>
      <c r="HJ65" s="22">
        <f t="shared" si="30"/>
        <v>4.2346477338402062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214.00000000000017</v>
      </c>
      <c r="O66" s="13">
        <f>N66*VLOOKUP('Données projet'!$B$9,Paramètres!$A$1:$I$89,3,0)*VLOOKUP('Données projet'!$B$9,Paramètres!$A$1:$I$89,5,0)</f>
        <v>193.62720000000016</v>
      </c>
      <c r="P66" s="13">
        <f t="shared" si="33"/>
        <v>48.340990547231236</v>
      </c>
      <c r="Q66" s="20">
        <f t="shared" si="53"/>
        <v>421.42793186976132</v>
      </c>
      <c r="R66" s="59">
        <f t="shared" si="0"/>
        <v>714.76126520309458</v>
      </c>
      <c r="S66" s="59">
        <f ca="1">AVERAGE(OFFSET($R$3,0,0,'Données projet'!$E$9+1,1))-AVERAGE(OFFSET($H$3,0,0,'Données projet'!$E$9+1,1))</f>
        <v>237.22177246688199</v>
      </c>
      <c r="T66" s="59">
        <f t="shared" si="34"/>
        <v>149.27472147904302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1.2440367558187133</v>
      </c>
      <c r="AB66" s="21">
        <f>EXP(-LN(2)/2)*AB65+(1-EXP(-LN(2)/2))/(LN(2)/2)*V66*Y66*VLOOKUP('Données projet'!$B$9,Paramètres!$A$1:$I$89,3,0)*0.475*44/12</f>
        <v>6.6780545638866413E-5</v>
      </c>
      <c r="AC66" s="22">
        <f t="shared" si="3"/>
        <v>1.2441035363643522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214.00000000000017</v>
      </c>
      <c r="AJ66" s="13">
        <f>AI66*VLOOKUP('Données projet'!$B$10,Paramètres!$A$1:$I$89,3,0)*VLOOKUP('Données projet'!$B$10,Paramètres!$A$1:$I$89,5,0)</f>
        <v>216.99600000000018</v>
      </c>
      <c r="AK66" s="13">
        <f t="shared" si="35"/>
        <v>53.461459647386967</v>
      </c>
      <c r="AL66" s="20">
        <f t="shared" si="4"/>
        <v>471.0467422191993</v>
      </c>
      <c r="AM66" s="59">
        <f t="shared" si="5"/>
        <v>764.38007555253262</v>
      </c>
      <c r="AN66" s="59">
        <f ca="1">AVERAGE(OFFSET($AM$3,0,0,'Données projet'!$E$10+1,1))-AVERAGE(OFFSET($H$3,0,0,'Données projet'!$E$10+1,1))</f>
        <v>279.20364724206644</v>
      </c>
      <c r="AO66" s="59">
        <f t="shared" si="36"/>
        <v>173.99850582760712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1.3941791229002822</v>
      </c>
      <c r="AW66" s="21">
        <f>EXP(-LN(2)/2)*AW65+(1-EXP(-LN(2)/2))/(LN(2)/2)*AQ66*AT66*VLOOKUP('Données projet'!$B$10,Paramètres!$A$1:$I$89,3,0)*0.475*44/12</f>
        <v>7.4840266664246831E-5</v>
      </c>
      <c r="AX66" s="21">
        <f t="shared" si="6"/>
        <v>1.3942539631669464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15.5</v>
      </c>
      <c r="BD66" s="12">
        <f>IF('Données projet'!$A$88&gt;35,BD65+BC66-BL65,IF(A66&lt;'Données projet'!$A$88,$BA$205^A66,IF(A66='Données projet'!$A$88,'Données projet'!$B$88,BD65+BC66-BL65)))</f>
        <v>337.89999999999986</v>
      </c>
      <c r="BE66" s="13">
        <f>BD66*VLOOKUP('Données projet'!$B$11,Paramètres!$A$1:$I$89,3,0)*VLOOKUP('Données projet'!$B$11,Paramètres!$A$1:$I$89,5,0)</f>
        <v>158.13719999999995</v>
      </c>
      <c r="BF66" s="13">
        <f t="shared" si="37"/>
        <v>40.422069728367696</v>
      </c>
      <c r="BG66" s="20">
        <f t="shared" si="7"/>
        <v>345.82406144357361</v>
      </c>
      <c r="BH66" s="59">
        <f t="shared" si="8"/>
        <v>639.15739477690693</v>
      </c>
      <c r="BI66" s="59">
        <f ca="1">AVERAGE(OFFSET($BH$3,0,0,'Données projet'!$E$11+1,1))-AVERAGE(OFFSET($H$3,0,0,'Données projet'!$E$11+1,1))</f>
        <v>215.23235148064941</v>
      </c>
      <c r="BJ66" s="59">
        <f t="shared" si="38"/>
        <v>184.07239726900434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1.6306144950304886</v>
      </c>
      <c r="BQ66" s="21">
        <f>EXP(-LN(2)/25)*BQ65+(1-EXP(-LN(2)/25))/(LN(2)/25)*Calculateur!BL66*Calculateur!BN66*VLOOKUP('Données projet'!$B$11,Paramètres!$A$1:$I$89,3,0)*0.475*44/12</f>
        <v>3.1463879342314973</v>
      </c>
      <c r="BR66" s="21">
        <f>EXP(-LN(2)/2)*BR65+(1-EXP(-LN(2)/2))/(LN(2)/2)*BL66*BO66*VLOOKUP('Données projet'!$B$11,Paramètres!$A$1:$I$89,3,0)*0.475*44/12</f>
        <v>1.0608518467773708E-4</v>
      </c>
      <c r="BS66" s="22">
        <f t="shared" si="9"/>
        <v>4.7771085144466632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</v>
      </c>
      <c r="BY66" s="12">
        <f>IF('Données projet'!$A$114&gt;35,BY65+BX66-CG65,IF(A66&lt;'Données projet'!$A$114,$BV$205^A66,IF(A66='Données projet'!$A$114,'Données projet'!$B$114,BY65+BX66-CG65)))</f>
        <v>214.00000000000017</v>
      </c>
      <c r="BZ66" s="13">
        <f>BY66*VLOOKUP('Données projet'!$B$12,Paramètres!$A$1:$I$89,3,0)*VLOOKUP('Données projet'!$B$12,Paramètres!$A$1:$I$89,5,0)</f>
        <v>230.34960000000018</v>
      </c>
      <c r="CA66" s="13">
        <f t="shared" si="39"/>
        <v>56.35826654142636</v>
      </c>
      <c r="CB66" s="20">
        <f t="shared" si="10"/>
        <v>499.34953422631787</v>
      </c>
      <c r="CC66" s="59">
        <f t="shared" si="11"/>
        <v>792.68286755965119</v>
      </c>
      <c r="CD66" s="59">
        <f ca="1">AVERAGE(OFFSET($CC$3,0,0,'Données projet'!$E$12+1,1))-AVERAGE(OFFSET($H$3,0,0,'Données projet'!$E$12+1,1))</f>
        <v>303.1504619632214</v>
      </c>
      <c r="CE66" s="59">
        <f t="shared" si="40"/>
        <v>188.09929616366503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1.4799747612326073</v>
      </c>
      <c r="CM66" s="21">
        <f>EXP(-LN(2)/2)*CM65+(1-EXP(-LN(2)/2))/(LN(2)/2)*CG66*CJ66*VLOOKUP('Données projet'!$B$12,Paramètres!$A$1:$I$89,3,0)*0.475*44/12</f>
        <v>7.944582153589294E-5</v>
      </c>
      <c r="CN66" s="22">
        <f t="shared" si="12"/>
        <v>1.4800542070541431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4.0999999999999996</v>
      </c>
      <c r="CT66" s="12">
        <f>IF('Données projet'!$A$140&gt;35,CT65+CS66-DB65,IF(A66&lt;'Données projet'!$A$140,$CQ$205^A66,IF(A66='Données projet'!$A$140,'Données projet'!$B$140,CT65+CS66-DB65)))</f>
        <v>245.29999999999973</v>
      </c>
      <c r="CU66" s="17">
        <f>CT66*VLOOKUP('Données projet'!$B$13,Paramètres!$A$1:$I$89,3,0)*VLOOKUP('Données projet'!$B$13,Paramètres!$A$1:$I$89,5,0)</f>
        <v>164.54723999999982</v>
      </c>
      <c r="CV66" s="13">
        <f t="shared" si="41"/>
        <v>41.866479285519468</v>
      </c>
      <c r="CW66" s="20">
        <f t="shared" si="13"/>
        <v>359.50389442227942</v>
      </c>
      <c r="CX66" s="59">
        <f t="shared" si="14"/>
        <v>652.83722775561273</v>
      </c>
      <c r="CY66" s="59">
        <f ca="1">AVERAGE(OFFSET($CX$3,0,0,'Données projet'!$E$13+1,1))-AVERAGE(OFFSET($H$3,0,0,'Données projet'!$E$13+1,1))</f>
        <v>156.63226020379989</v>
      </c>
      <c r="CZ66" s="59">
        <f t="shared" si="42"/>
        <v>196.0481096619543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3.4726221193056261</v>
      </c>
      <c r="DH66" s="21">
        <f>EXP(-LN(2)/2)*DH65+(1-EXP(-LN(2)/2))/(LN(2)/2)*DB66*DE66*VLOOKUP('Données projet'!$B$13,Paramètres!$A$1:$I$89,3,0)*0.475*44/12</f>
        <v>9.7899059037506619E-5</v>
      </c>
      <c r="DI66" s="22">
        <f t="shared" si="15"/>
        <v>3.4727200183646638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-8.5265128291212022E-14</v>
      </c>
      <c r="DP66" s="17">
        <f>DO66*VLOOKUP('Données projet'!$B$14,Paramètres!$A$1:$I$89,3,0)*VLOOKUP('Données projet'!$B$14,Paramètres!$A$1:$I$89,5,0)</f>
        <v>-7.7147888077888636E-14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225.28075317732998</v>
      </c>
      <c r="DU66" s="59">
        <f t="shared" si="44"/>
        <v>358.43407531256207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1.1670849120788074</v>
      </c>
      <c r="EB66" s="21">
        <f>EXP(-LN(2)/25)*EB65+(1-EXP(-LN(2)/25))/(LN(2)/25)*Calculateur!DW66*Calculateur!DY66*VLOOKUP('Données projet'!$B$14,Paramètres!$A$1:$I$89,3,0)*0.475*44/12</f>
        <v>3.3132477160555314</v>
      </c>
      <c r="EC66" s="21">
        <f>EXP(-LN(2)/2)*EC65+(1-EXP(-LN(2)/2))/(LN(2)/2)*DW66*DZ66*VLOOKUP('Données projet'!$B$14,Paramètres!$A$1:$I$89,3,0)*0.475*44/12</f>
        <v>4.7625492289666069E-5</v>
      </c>
      <c r="ED66" s="22">
        <f t="shared" si="18"/>
        <v>4.4803802536266284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13.4</v>
      </c>
      <c r="EJ66" s="12">
        <f>IF('Données projet'!$A$192&gt;35,EJ65+EI66-ER65,IF(A66&lt;'Données projet'!$A$192,$EG$205^A66,IF(A66='Données projet'!$A$192,'Données projet'!$B$192,EJ65+EI66-ER65)))</f>
        <v>520.19999999999982</v>
      </c>
      <c r="EK66" s="17">
        <f>EJ66*VLOOKUP('Données projet'!$B$15,Paramètres!$A$1:$I$89,3,0)*VLOOKUP('Données projet'!$B$15,Paramètres!$A$1:$I$89,5,0)</f>
        <v>290.79179999999991</v>
      </c>
      <c r="EL66" s="13">
        <f t="shared" si="45"/>
        <v>69.242582588470327</v>
      </c>
      <c r="EM66" s="20">
        <f t="shared" si="19"/>
        <v>627.05988300825231</v>
      </c>
      <c r="EN66" s="59">
        <f t="shared" si="20"/>
        <v>920.39321634158568</v>
      </c>
      <c r="EO66" s="59">
        <f ca="1">AVERAGE(OFFSET($EN$3,0,0,'Données projet'!$E$15+1,1))-AVERAGE(OFFSET($H$3,0,0,'Données projet'!$E$15+1,1))</f>
        <v>326.31232746914907</v>
      </c>
      <c r="EP66" s="59">
        <f t="shared" si="46"/>
        <v>330.17137761430297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2.3762525441983899</v>
      </c>
      <c r="EW66" s="21">
        <f>EXP(-LN(2)/25)*EW65+(1-EXP(-LN(2)/25))/(LN(2)/25)*Calculateur!ER66*Calculateur!ET66*VLOOKUP('Données projet'!$B$15,Paramètres!$A$1:$I$89,3,0)*0.475*44/12</f>
        <v>12.085319987996952</v>
      </c>
      <c r="EX66" s="21">
        <f>EXP(-LN(2)/2)*EX65+(1-EXP(-LN(2)/2))/(LN(2)/2)*ER66*EU66*VLOOKUP('Données projet'!$B$15,Paramètres!$A$1:$I$89,3,0)*0.475*44/12</f>
        <v>3.5090010414250052E-4</v>
      </c>
      <c r="EY66" s="22">
        <f t="shared" si="21"/>
        <v>14.461923432299486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7.8</v>
      </c>
      <c r="FE66" s="12">
        <f>IF('Données projet'!$A$218&gt;35,FE65+FD66-FM65,IF(A66&lt;'Données projet'!$A$218,$FB$205^A66,IF(A66='Données projet'!$A$218,'Données projet'!$B$218,FE65+FD66-FM65)))</f>
        <v>372.39999999999992</v>
      </c>
      <c r="FF66" s="17">
        <f>FE66*VLOOKUP('Données projet'!$B$16,Paramètres!$A$1:$I$89,3,0)*VLOOKUP('Données projet'!$B$16,Paramètres!$A$1:$I$89,5,0)</f>
        <v>232.37759999999994</v>
      </c>
      <c r="FG66" s="13">
        <f t="shared" si="47"/>
        <v>56.79646612603225</v>
      </c>
      <c r="FH66" s="20">
        <f t="shared" si="22"/>
        <v>503.64483183617267</v>
      </c>
      <c r="FI66" s="59">
        <f t="shared" si="23"/>
        <v>796.97816516950593</v>
      </c>
      <c r="FJ66" s="59">
        <f ca="1">AVERAGE(OFFSET($FI$3,0,0,'Données projet'!$E$16+1,1))-AVERAGE(OFFSET($H$3,0,0,'Données projet'!$E$16+1,1))</f>
        <v>255.41017495879987</v>
      </c>
      <c r="FK66" s="59">
        <f t="shared" si="48"/>
        <v>297.50513563712764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4.3405543302059364</v>
      </c>
      <c r="FR66" s="21">
        <f>EXP(-LN(2)/25)*FR65+(1-EXP(-LN(2)/25))/(LN(2)/25)*Calculateur!FM66*Calculateur!FO66*VLOOKUP('Données projet'!$B$16,Paramètres!$A$1:$I$89,3,0)*0.475*44/12</f>
        <v>11.162855757388023</v>
      </c>
      <c r="FS66" s="21">
        <f>EXP(-LN(2)/2)*FS65+(1-EXP(-LN(2)/2))/(LN(2)/2)*FM66*FP66*VLOOKUP('Données projet'!$B$16,Paramètres!$A$1:$I$89,3,0)*0.475*44/12</f>
        <v>2.6327892642119554E-4</v>
      </c>
      <c r="FT66" s="22">
        <f t="shared" si="24"/>
        <v>15.503673366520381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10.7</v>
      </c>
      <c r="FZ66" s="12">
        <f>IF('Données projet'!$A$244&gt;35,FZ65+FY66-GH65,IF(A66&lt;'Données projet'!$A$244,$FW$205^A66,IF(A66='Données projet'!$A$244,'Données projet'!$B$244,FZ65+FY66-GH65)))</f>
        <v>415.10000000000025</v>
      </c>
      <c r="GA66" s="17">
        <f>FZ66*VLOOKUP('Données projet'!$B$17,Paramètres!$A$1:$I$89,3,0)*VLOOKUP('Données projet'!$B$17,Paramètres!$A$1:$I$89,5,0)</f>
        <v>248.22980000000015</v>
      </c>
      <c r="GB66" s="13">
        <f t="shared" si="49"/>
        <v>60.206722539547698</v>
      </c>
      <c r="GC66" s="20">
        <f t="shared" si="25"/>
        <v>537.19361008971248</v>
      </c>
      <c r="GD66" s="59">
        <f t="shared" si="26"/>
        <v>830.52694342304585</v>
      </c>
      <c r="GE66" s="59">
        <f ca="1">AVERAGE(OFFSET($GD$3,0,0,'Données projet'!$E$17+1,1))-AVERAGE(OFFSET($H$3,0,0,'Données projet'!$E$17+1,1))</f>
        <v>259.30247982593914</v>
      </c>
      <c r="GF66" s="59">
        <f t="shared" si="50"/>
        <v>275.24740346220779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7.2228517710572913</v>
      </c>
      <c r="GN66" s="21">
        <f>EXP(-LN(2)/2)*GN65+(1-EXP(-LN(2)/2))/(LN(2)/2)*GH66*GK66*VLOOKUP('Données projet'!$B$17,Paramètres!$A$1:$I$89,3,0)*0.475*44/12</f>
        <v>3.0945060658592744E-4</v>
      </c>
      <c r="GO66" s="21">
        <f t="shared" si="27"/>
        <v>7.2231612216638768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4.0999999999999996</v>
      </c>
      <c r="GU66" s="12">
        <f>IF('Données projet'!$A$270&gt;35,GU65+GT66-HC65,IF(A66&lt;'Données projet'!$A$270,$GR$205^A66,IF(A66='Données projet'!$A$270,'Données projet'!$B$270,GU65+GT66-HC65)))</f>
        <v>245.29999999999973</v>
      </c>
      <c r="GV66" s="17">
        <f>GU66*VLOOKUP('Données projet'!$B$18,Paramètres!$A$1:$I$89,3,0)*VLOOKUP('Données projet'!$B$18,Paramètres!$A$1:$I$89,5,0)</f>
        <v>195.16067999999979</v>
      </c>
      <c r="GW66" s="13">
        <f t="shared" si="51"/>
        <v>48.679120283467881</v>
      </c>
      <c r="GX66" s="20">
        <f t="shared" si="28"/>
        <v>424.68765216037281</v>
      </c>
      <c r="GY66" s="59">
        <f t="shared" si="29"/>
        <v>718.02098549370612</v>
      </c>
      <c r="GZ66" s="59">
        <f ca="1">AVERAGE(OFFSET($GY$3,0,0,'Données projet'!$E$18+1,1))-AVERAGE(OFFSET($H$3,0,0,'Données projet'!$E$18+1,1))</f>
        <v>199.58763537752952</v>
      </c>
      <c r="HA66" s="59">
        <f t="shared" si="52"/>
        <v>242.62852778451929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0</v>
      </c>
      <c r="HH66" s="21">
        <f>EXP(-LN(2)/25)*HH65+(1-EXP(-LN(2)/25))/(LN(2)/25)*Calculateur!HC66*Calculateur!HE66*VLOOKUP('Données projet'!$B$18,Paramètres!$A$1:$I$89,3,0)*0.475*44/12</f>
        <v>4.1186913508043457</v>
      </c>
      <c r="HI66" s="21">
        <f>EXP(-LN(2)/2)*HI65+(1-EXP(-LN(2)/2))/(LN(2)/2)*HC66*HF66*VLOOKUP('Données projet'!$B$18,Paramètres!$A$1:$I$89,3,0)*0.475*44/12</f>
        <v>1.1611283746308936E-4</v>
      </c>
      <c r="HJ66" s="22">
        <f t="shared" si="30"/>
        <v>4.1188074636418088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221.00000000000017</v>
      </c>
      <c r="O67" s="13">
        <f>N67*VLOOKUP('Données projet'!$B$9,Paramètres!$A$1:$I$89,3,0)*VLOOKUP('Données projet'!$B$9,Paramètres!$A$1:$I$89,5,0)</f>
        <v>199.96080000000015</v>
      </c>
      <c r="P67" s="13">
        <f t="shared" si="33"/>
        <v>49.735552653569265</v>
      </c>
      <c r="Q67" s="20">
        <f t="shared" ref="Q67:Q98" si="54">(O67+P67)*0.475*44/12</f>
        <v>434.88781420496679</v>
      </c>
      <c r="R67" s="59">
        <f t="shared" ref="R67:R130" si="55">Q67+(I67+J67)*44/12</f>
        <v>728.2211475383001</v>
      </c>
      <c r="S67" s="59">
        <f ca="1">AVERAGE(OFFSET($R$3,0,0,'Données projet'!$E$9+1,1))-AVERAGE(OFFSET($H$3,0,0,'Données projet'!$E$9+1,1))</f>
        <v>237.22177246688199</v>
      </c>
      <c r="T67" s="59">
        <f t="shared" si="34"/>
        <v>149.27472147904302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1.2100185053098009</v>
      </c>
      <c r="AB67" s="21">
        <f>EXP(-LN(2)/2)*AB66+(1-EXP(-LN(2)/2))/(LN(2)/2)*V67*Y67*VLOOKUP('Données projet'!$B$9,Paramètres!$A$1:$I$89,3,0)*0.475*44/12</f>
        <v>4.7220976672580164E-5</v>
      </c>
      <c r="AC67" s="22">
        <f t="shared" si="3"/>
        <v>1.2100657262864736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221.00000000000017</v>
      </c>
      <c r="AJ67" s="13">
        <f>AI67*VLOOKUP('Données projet'!$B$10,Paramètres!$A$1:$I$89,3,0)*VLOOKUP('Données projet'!$B$10,Paramètres!$A$1:$I$89,5,0)</f>
        <v>224.09400000000019</v>
      </c>
      <c r="AK67" s="13">
        <f t="shared" si="35"/>
        <v>55.003739293082717</v>
      </c>
      <c r="AL67" s="20">
        <f t="shared" si="4"/>
        <v>486.095229268786</v>
      </c>
      <c r="AM67" s="59">
        <f t="shared" si="5"/>
        <v>779.42856260211931</v>
      </c>
      <c r="AN67" s="59">
        <f ca="1">AVERAGE(OFFSET($AM$3,0,0,'Données projet'!$E$10+1,1))-AVERAGE(OFFSET($H$3,0,0,'Données projet'!$E$10+1,1))</f>
        <v>279.20364724206644</v>
      </c>
      <c r="AO67" s="59">
        <f t="shared" si="36"/>
        <v>173.99850582760712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1.3560552214678805</v>
      </c>
      <c r="AW67" s="21">
        <f>EXP(-LN(2)/2)*AW66+(1-EXP(-LN(2)/2))/(LN(2)/2)*AQ67*AT67*VLOOKUP('Données projet'!$B$10,Paramètres!$A$1:$I$89,3,0)*0.475*44/12</f>
        <v>5.2920060064098452E-5</v>
      </c>
      <c r="AX67" s="21">
        <f t="shared" si="6"/>
        <v>1.3561081415279446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15.5</v>
      </c>
      <c r="BD67" s="12">
        <f>IF('Données projet'!$A$88&gt;35,BD66+BC67-BL66,IF(A67&lt;'Données projet'!$A$88,$BA$205^A67,IF(A67='Données projet'!$A$88,'Données projet'!$B$88,BD66+BC67-BL66)))</f>
        <v>353.39999999999986</v>
      </c>
      <c r="BE67" s="13">
        <f>BD67*VLOOKUP('Données projet'!$B$11,Paramètres!$A$1:$I$89,3,0)*VLOOKUP('Données projet'!$B$11,Paramètres!$A$1:$I$89,5,0)</f>
        <v>165.39119999999994</v>
      </c>
      <c r="BF67" s="13">
        <f t="shared" si="37"/>
        <v>42.056160358234834</v>
      </c>
      <c r="BG67" s="20">
        <f t="shared" si="7"/>
        <v>361.30415262392557</v>
      </c>
      <c r="BH67" s="59">
        <f t="shared" si="8"/>
        <v>654.63748595725883</v>
      </c>
      <c r="BI67" s="59">
        <f ca="1">AVERAGE(OFFSET($BH$3,0,0,'Données projet'!$E$11+1,1))-AVERAGE(OFFSET($H$3,0,0,'Données projet'!$E$11+1,1))</f>
        <v>215.23235148064941</v>
      </c>
      <c r="BJ67" s="59">
        <f t="shared" si="38"/>
        <v>184.07239726900434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1.5986391393595765</v>
      </c>
      <c r="BQ67" s="21">
        <f>EXP(-LN(2)/25)*BQ66+(1-EXP(-LN(2)/25))/(LN(2)/25)*Calculateur!BL67*Calculateur!BN67*VLOOKUP('Données projet'!$B$11,Paramètres!$A$1:$I$89,3,0)*0.475*44/12</f>
        <v>3.0603497907085866</v>
      </c>
      <c r="BR67" s="21">
        <f>EXP(-LN(2)/2)*BR66+(1-EXP(-LN(2)/2))/(LN(2)/2)*BL67*BO67*VLOOKUP('Données projet'!$B$11,Paramètres!$A$1:$I$89,3,0)*0.475*44/12</f>
        <v>7.5013553469055114E-5</v>
      </c>
      <c r="BS67" s="22">
        <f t="shared" si="9"/>
        <v>4.6590639436216321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</v>
      </c>
      <c r="BY67" s="12">
        <f>IF('Données projet'!$A$114&gt;35,BY66+BX67-CG66,IF(A67&lt;'Données projet'!$A$114,$BV$205^A67,IF(A67='Données projet'!$A$114,'Données projet'!$B$114,BY66+BX67-CG66)))</f>
        <v>221.00000000000017</v>
      </c>
      <c r="BZ67" s="13">
        <f>BY67*VLOOKUP('Données projet'!$B$12,Paramètres!$A$1:$I$89,3,0)*VLOOKUP('Données projet'!$B$12,Paramètres!$A$1:$I$89,5,0)</f>
        <v>237.88440000000014</v>
      </c>
      <c r="CA67" s="13">
        <f t="shared" si="39"/>
        <v>57.984114543460585</v>
      </c>
      <c r="CB67" s="20">
        <f t="shared" si="10"/>
        <v>515.30432949652743</v>
      </c>
      <c r="CC67" s="59">
        <f t="shared" si="11"/>
        <v>808.6376628298608</v>
      </c>
      <c r="CD67" s="59">
        <f ca="1">AVERAGE(OFFSET($CC$3,0,0,'Données projet'!$E$12+1,1))-AVERAGE(OFFSET($H$3,0,0,'Données projet'!$E$12+1,1))</f>
        <v>303.1504619632214</v>
      </c>
      <c r="CE67" s="59">
        <f t="shared" si="40"/>
        <v>188.09929616366503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1.4395047735582114</v>
      </c>
      <c r="CM67" s="21">
        <f>EXP(-LN(2)/2)*CM66+(1-EXP(-LN(2)/2))/(LN(2)/2)*CG67*CJ67*VLOOKUP('Données projet'!$B$12,Paramètres!$A$1:$I$89,3,0)*0.475*44/12</f>
        <v>5.6176679144966155E-5</v>
      </c>
      <c r="CN67" s="22">
        <f t="shared" si="12"/>
        <v>1.4395609502373563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4.0999999999999996</v>
      </c>
      <c r="CT67" s="12">
        <f>IF('Données projet'!$A$140&gt;35,CT66+CS67-DB66,IF(A67&lt;'Données projet'!$A$140,$CQ$205^A67,IF(A67='Données projet'!$A$140,'Données projet'!$B$140,CT66+CS67-DB66)))</f>
        <v>249.39999999999972</v>
      </c>
      <c r="CU67" s="17">
        <f>CT67*VLOOKUP('Données projet'!$B$13,Paramètres!$A$1:$I$89,3,0)*VLOOKUP('Données projet'!$B$13,Paramètres!$A$1:$I$89,5,0)</f>
        <v>167.29751999999982</v>
      </c>
      <c r="CV67" s="13">
        <f t="shared" si="41"/>
        <v>42.48419463117073</v>
      </c>
      <c r="CW67" s="20">
        <f t="shared" si="13"/>
        <v>365.36981964928873</v>
      </c>
      <c r="CX67" s="59">
        <f t="shared" si="14"/>
        <v>658.70315298262199</v>
      </c>
      <c r="CY67" s="59">
        <f ca="1">AVERAGE(OFFSET($CX$3,0,0,'Données projet'!$E$13+1,1))-AVERAGE(OFFSET($H$3,0,0,'Données projet'!$E$13+1,1))</f>
        <v>156.63226020379989</v>
      </c>
      <c r="CZ67" s="59">
        <f t="shared" si="42"/>
        <v>196.0481096619543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3.3776630848359535</v>
      </c>
      <c r="DH67" s="21">
        <f>EXP(-LN(2)/2)*DH66+(1-EXP(-LN(2)/2))/(LN(2)/2)*DB67*DE67*VLOOKUP('Données projet'!$B$13,Paramètres!$A$1:$I$89,3,0)*0.475*44/12</f>
        <v>6.9225088517203091E-5</v>
      </c>
      <c r="DI67" s="22">
        <f t="shared" si="15"/>
        <v>3.3777323099244705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-8.5265128291212022E-14</v>
      </c>
      <c r="DP67" s="17">
        <f>DO67*VLOOKUP('Données projet'!$B$14,Paramètres!$A$1:$I$89,3,0)*VLOOKUP('Données projet'!$B$14,Paramètres!$A$1:$I$89,5,0)</f>
        <v>-7.7147888077888636E-14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225.28075317732998</v>
      </c>
      <c r="DU67" s="59">
        <f t="shared" si="44"/>
        <v>358.43407531256207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1.1441990888044489</v>
      </c>
      <c r="EB67" s="21">
        <f>EXP(-LN(2)/25)*EB66+(1-EXP(-LN(2)/25))/(LN(2)/25)*Calculateur!DW67*Calculateur!DY67*VLOOKUP('Données projet'!$B$14,Paramètres!$A$1:$I$89,3,0)*0.475*44/12</f>
        <v>3.2226467830238681</v>
      </c>
      <c r="EC67" s="21">
        <f>EXP(-LN(2)/2)*EC66+(1-EXP(-LN(2)/2))/(LN(2)/2)*DW67*DZ67*VLOOKUP('Données projet'!$B$14,Paramètres!$A$1:$I$89,3,0)*0.475*44/12</f>
        <v>3.3676308555370511E-5</v>
      </c>
      <c r="ED67" s="22">
        <f t="shared" si="18"/>
        <v>4.3668795481368718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13.4</v>
      </c>
      <c r="EJ67" s="12">
        <f>IF('Données projet'!$A$192&gt;35,EJ66+EI67-ER66,IF(A67&lt;'Données projet'!$A$192,$EG$205^A67,IF(A67='Données projet'!$A$192,'Données projet'!$B$192,EJ66+EI67-ER66)))</f>
        <v>533.5999999999998</v>
      </c>
      <c r="EK67" s="17">
        <f>EJ67*VLOOKUP('Données projet'!$B$15,Paramètres!$A$1:$I$89,3,0)*VLOOKUP('Données projet'!$B$15,Paramètres!$A$1:$I$89,5,0)</f>
        <v>298.28239999999988</v>
      </c>
      <c r="EL67" s="13">
        <f t="shared" si="45"/>
        <v>70.816268303381889</v>
      </c>
      <c r="EM67" s="20">
        <f t="shared" si="19"/>
        <v>642.84684729505659</v>
      </c>
      <c r="EN67" s="59">
        <f t="shared" si="20"/>
        <v>936.18018062838996</v>
      </c>
      <c r="EO67" s="59">
        <f ca="1">AVERAGE(OFFSET($EN$3,0,0,'Données projet'!$E$15+1,1))-AVERAGE(OFFSET($H$3,0,0,'Données projet'!$E$15+1,1))</f>
        <v>326.31232746914907</v>
      </c>
      <c r="EP67" s="59">
        <f t="shared" si="46"/>
        <v>330.17137761430297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2.3296556811775981</v>
      </c>
      <c r="EW67" s="21">
        <f>EXP(-LN(2)/25)*EW66+(1-EXP(-LN(2)/25))/(LN(2)/25)*Calculateur!ER67*Calculateur!ET67*VLOOKUP('Données projet'!$B$15,Paramètres!$A$1:$I$89,3,0)*0.475*44/12</f>
        <v>11.754846277385818</v>
      </c>
      <c r="EX67" s="21">
        <f>EXP(-LN(2)/2)*EX66+(1-EXP(-LN(2)/2))/(LN(2)/2)*ER67*EU67*VLOOKUP('Données projet'!$B$15,Paramètres!$A$1:$I$89,3,0)*0.475*44/12</f>
        <v>2.4812384315822786E-4</v>
      </c>
      <c r="EY67" s="22">
        <f t="shared" si="21"/>
        <v>14.084750082406575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7.8</v>
      </c>
      <c r="FE67" s="12">
        <f>IF('Données projet'!$A$218&gt;35,FE66+FD67-FM66,IF(A67&lt;'Données projet'!$A$218,$FB$205^A67,IF(A67='Données projet'!$A$218,'Données projet'!$B$218,FE66+FD67-FM66)))</f>
        <v>380.19999999999993</v>
      </c>
      <c r="FF67" s="17">
        <f>FE67*VLOOKUP('Données projet'!$B$16,Paramètres!$A$1:$I$89,3,0)*VLOOKUP('Données projet'!$B$16,Paramètres!$A$1:$I$89,5,0)</f>
        <v>237.24479999999994</v>
      </c>
      <c r="FG67" s="13">
        <f t="shared" si="47"/>
        <v>57.846338010686594</v>
      </c>
      <c r="FH67" s="20">
        <f t="shared" si="22"/>
        <v>513.9503987019458</v>
      </c>
      <c r="FI67" s="59">
        <f t="shared" si="23"/>
        <v>807.28373203527917</v>
      </c>
      <c r="FJ67" s="59">
        <f ca="1">AVERAGE(OFFSET($FI$3,0,0,'Données projet'!$E$16+1,1))-AVERAGE(OFFSET($H$3,0,0,'Données projet'!$E$16+1,1))</f>
        <v>255.41017495879987</v>
      </c>
      <c r="FK67" s="59">
        <f t="shared" si="48"/>
        <v>297.50513563712764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4.2554387072673228</v>
      </c>
      <c r="FR67" s="21">
        <f>EXP(-LN(2)/25)*FR66+(1-EXP(-LN(2)/25))/(LN(2)/25)*Calculateur!FM67*Calculateur!FO67*VLOOKUP('Données projet'!$B$16,Paramètres!$A$1:$I$89,3,0)*0.475*44/12</f>
        <v>10.857606879673176</v>
      </c>
      <c r="FS67" s="21">
        <f>EXP(-LN(2)/2)*FS66+(1-EXP(-LN(2)/2))/(LN(2)/2)*FM67*FP67*VLOOKUP('Données projet'!$B$16,Paramètres!$A$1:$I$89,3,0)*0.475*44/12</f>
        <v>1.8616631421594147E-4</v>
      </c>
      <c r="FT67" s="22">
        <f t="shared" si="24"/>
        <v>15.113231753254713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10.7</v>
      </c>
      <c r="FZ67" s="12">
        <f>IF('Données projet'!$A$244&gt;35,FZ66+FY67-GH66,IF(A67&lt;'Données projet'!$A$244,$FW$205^A67,IF(A67='Données projet'!$A$244,'Données projet'!$B$244,FZ66+FY67-GH66)))</f>
        <v>425.80000000000024</v>
      </c>
      <c r="GA67" s="17">
        <f>FZ67*VLOOKUP('Données projet'!$B$17,Paramètres!$A$1:$I$89,3,0)*VLOOKUP('Données projet'!$B$17,Paramètres!$A$1:$I$89,5,0)</f>
        <v>254.62840000000014</v>
      </c>
      <c r="GB67" s="13">
        <f t="shared" si="49"/>
        <v>61.575982433801578</v>
      </c>
      <c r="GC67" s="20">
        <f t="shared" si="25"/>
        <v>550.7226327388712</v>
      </c>
      <c r="GD67" s="59">
        <f t="shared" si="26"/>
        <v>844.05596607220446</v>
      </c>
      <c r="GE67" s="59">
        <f ca="1">AVERAGE(OFFSET($GD$3,0,0,'Données projet'!$E$17+1,1))-AVERAGE(OFFSET($H$3,0,0,'Données projet'!$E$17+1,1))</f>
        <v>259.30247982593914</v>
      </c>
      <c r="GF67" s="59">
        <f t="shared" si="50"/>
        <v>275.24740346220779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7.0253425095444628</v>
      </c>
      <c r="GN67" s="21">
        <f>EXP(-LN(2)/2)*GN66+(1-EXP(-LN(2)/2))/(LN(2)/2)*GH67*GK67*VLOOKUP('Données projet'!$B$17,Paramètres!$A$1:$I$89,3,0)*0.475*44/12</f>
        <v>2.188146223591998E-4</v>
      </c>
      <c r="GO67" s="21">
        <f t="shared" si="27"/>
        <v>7.025561324166822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4.0999999999999996</v>
      </c>
      <c r="GU67" s="12">
        <f>IF('Données projet'!$A$270&gt;35,GU66+GT67-HC66,IF(A67&lt;'Données projet'!$A$270,$GR$205^A67,IF(A67='Données projet'!$A$270,'Données projet'!$B$270,GU66+GT67-HC66)))</f>
        <v>249.39999999999972</v>
      </c>
      <c r="GV67" s="17">
        <f>GU67*VLOOKUP('Données projet'!$B$18,Paramètres!$A$1:$I$89,3,0)*VLOOKUP('Données projet'!$B$18,Paramètres!$A$1:$I$89,5,0)</f>
        <v>198.4226399999998</v>
      </c>
      <c r="GW67" s="13">
        <f t="shared" si="51"/>
        <v>49.397352151183213</v>
      </c>
      <c r="GX67" s="20">
        <f t="shared" si="28"/>
        <v>431.61981966331041</v>
      </c>
      <c r="GY67" s="59">
        <f t="shared" si="29"/>
        <v>724.95315299664367</v>
      </c>
      <c r="GZ67" s="59">
        <f ca="1">AVERAGE(OFFSET($GY$3,0,0,'Données projet'!$E$18+1,1))-AVERAGE(OFFSET($H$3,0,0,'Données projet'!$E$18+1,1))</f>
        <v>199.58763537752952</v>
      </c>
      <c r="HA67" s="59">
        <f t="shared" si="52"/>
        <v>242.62852778451929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0</v>
      </c>
      <c r="HH67" s="21">
        <f>EXP(-LN(2)/25)*HH66+(1-EXP(-LN(2)/25))/(LN(2)/25)*Calculateur!HC67*Calculateur!HE67*VLOOKUP('Données projet'!$B$18,Paramètres!$A$1:$I$89,3,0)*0.475*44/12</f>
        <v>4.0060655192240358</v>
      </c>
      <c r="HI67" s="21">
        <f>EXP(-LN(2)/2)*HI66+(1-EXP(-LN(2)/2))/(LN(2)/2)*HC67*HF67*VLOOKUP('Données projet'!$B$18,Paramètres!$A$1:$I$89,3,0)*0.475*44/12</f>
        <v>8.2104174752961883E-5</v>
      </c>
      <c r="HJ67" s="22">
        <f t="shared" si="30"/>
        <v>4.0061476233987889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228.00000000000017</v>
      </c>
      <c r="O68" s="13">
        <f>N68*VLOOKUP('Données projet'!$B$9,Paramètres!$A$1:$I$89,3,0)*VLOOKUP('Données projet'!$B$9,Paramètres!$A$1:$I$89,5,0)</f>
        <v>206.29440000000017</v>
      </c>
      <c r="P68" s="13">
        <f t="shared" si="33"/>
        <v>51.124981739560774</v>
      </c>
      <c r="Q68" s="20">
        <f t="shared" si="54"/>
        <v>448.33875652973529</v>
      </c>
      <c r="R68" s="59">
        <f t="shared" si="55"/>
        <v>741.67208986306855</v>
      </c>
      <c r="S68" s="59">
        <f ca="1">AVERAGE(OFFSET($R$3,0,0,'Données projet'!$E$9+1,1))-AVERAGE(OFFSET($H$3,0,0,'Données projet'!$E$9+1,1))</f>
        <v>237.22177246688199</v>
      </c>
      <c r="T68" s="59">
        <f t="shared" si="34"/>
        <v>149.27472147904302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1.1769304856499967</v>
      </c>
      <c r="AB68" s="21">
        <f>EXP(-LN(2)/2)*AB67+(1-EXP(-LN(2)/2))/(LN(2)/2)*V68*Y68*VLOOKUP('Données projet'!$B$9,Paramètres!$A$1:$I$89,3,0)*0.475*44/12</f>
        <v>3.3390272819433207E-5</v>
      </c>
      <c r="AC68" s="22">
        <f t="shared" ref="AC68:AC131" si="57">SUM(Z68:AB68)</f>
        <v>1.176963875922816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228.00000000000017</v>
      </c>
      <c r="AJ68" s="13">
        <f>AI68*VLOOKUP('Données projet'!$B$10,Paramètres!$A$1:$I$89,3,0)*VLOOKUP('Données projet'!$B$10,Paramètres!$A$1:$I$89,5,0)</f>
        <v>231.19200000000018</v>
      </c>
      <c r="AK68" s="13">
        <f t="shared" si="35"/>
        <v>56.540342208595277</v>
      </c>
      <c r="AL68" s="20">
        <f t="shared" ref="AL68:AL131" si="58">(AJ68+AK68)*0.475*44/12</f>
        <v>501.13382934663713</v>
      </c>
      <c r="AM68" s="59">
        <f t="shared" ref="AM68:AM131" si="59">AL68+(AD68+AE68)*44/12</f>
        <v>794.46716267997044</v>
      </c>
      <c r="AN68" s="59">
        <f ca="1">AVERAGE(OFFSET($AM$3,0,0,'Données projet'!$E$10+1,1))-AVERAGE(OFFSET($H$3,0,0,'Données projet'!$E$10+1,1))</f>
        <v>279.20364724206644</v>
      </c>
      <c r="AO68" s="59">
        <f t="shared" si="36"/>
        <v>173.99850582760712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1.3189738201249965</v>
      </c>
      <c r="AW68" s="21">
        <f>EXP(-LN(2)/2)*AW67+(1-EXP(-LN(2)/2))/(LN(2)/2)*AQ68*AT68*VLOOKUP('Données projet'!$B$10,Paramètres!$A$1:$I$89,3,0)*0.475*44/12</f>
        <v>3.7420133332123416E-5</v>
      </c>
      <c r="AX68" s="21">
        <f t="shared" ref="AX68:AX131" si="60">SUM(AU68:AW68)</f>
        <v>1.3190112402583287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15.5</v>
      </c>
      <c r="BD68" s="12">
        <f>IF('Données projet'!$A$88&gt;35,BD67+BC68-BL67,IF(A68&lt;'Données projet'!$A$88,$BA$205^A68,IF(A68='Données projet'!$A$88,'Données projet'!$B$88,BD67+BC68-BL67)))</f>
        <v>368.89999999999986</v>
      </c>
      <c r="BE68" s="13">
        <f>BD68*VLOOKUP('Données projet'!$B$11,Paramètres!$A$1:$I$89,3,0)*VLOOKUP('Données projet'!$B$11,Paramètres!$A$1:$I$89,5,0)</f>
        <v>172.64519999999993</v>
      </c>
      <c r="BF68" s="13">
        <f t="shared" si="37"/>
        <v>43.681926966241704</v>
      </c>
      <c r="BG68" s="20">
        <f t="shared" ref="BG68:BG131" si="61">(BE68+BF68)*0.475*44/12</f>
        <v>376.76974613287081</v>
      </c>
      <c r="BH68" s="59">
        <f t="shared" ref="BH68:BH131" si="62">BG68+(AY68+AZ68)*44/12</f>
        <v>670.10307946620412</v>
      </c>
      <c r="BI68" s="59">
        <f ca="1">AVERAGE(OFFSET($BH$3,0,0,'Données projet'!$E$11+1,1))-AVERAGE(OFFSET($H$3,0,0,'Données projet'!$E$11+1,1))</f>
        <v>215.23235148064941</v>
      </c>
      <c r="BJ68" s="59">
        <f t="shared" si="38"/>
        <v>184.07239726900434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1.5672908009103297</v>
      </c>
      <c r="BQ68" s="21">
        <f>EXP(-LN(2)/25)*BQ67+(1-EXP(-LN(2)/25))/(LN(2)/25)*Calculateur!BL68*Calculateur!BN68*VLOOKUP('Données projet'!$B$11,Paramètres!$A$1:$I$89,3,0)*0.475*44/12</f>
        <v>2.9766643647448592</v>
      </c>
      <c r="BR68" s="21">
        <f>EXP(-LN(2)/2)*BR67+(1-EXP(-LN(2)/2))/(LN(2)/2)*BL68*BO68*VLOOKUP('Données projet'!$B$11,Paramètres!$A$1:$I$89,3,0)*0.475*44/12</f>
        <v>5.3042592338868538E-5</v>
      </c>
      <c r="BS68" s="22">
        <f t="shared" ref="BS68:BS131" si="63">SUM(BP68:BR68)</f>
        <v>4.5440082082475275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</v>
      </c>
      <c r="BY68" s="12">
        <f>IF('Données projet'!$A$114&gt;35,BY67+BX68-CG67,IF(A68&lt;'Données projet'!$A$114,$BV$205^A68,IF(A68='Données projet'!$A$114,'Données projet'!$B$114,BY67+BX68-CG67)))</f>
        <v>228.00000000000017</v>
      </c>
      <c r="BZ68" s="13">
        <f>BY68*VLOOKUP('Données projet'!$B$12,Paramètres!$A$1:$I$89,3,0)*VLOOKUP('Données projet'!$B$12,Paramètres!$A$1:$I$89,5,0)</f>
        <v>245.41920000000019</v>
      </c>
      <c r="CA68" s="13">
        <f t="shared" si="39"/>
        <v>59.603978221930504</v>
      </c>
      <c r="CB68" s="20">
        <f t="shared" ref="CB68:CB131" si="64">(BZ68+CA68)*0.475*44/12</f>
        <v>531.2487020698627</v>
      </c>
      <c r="CC68" s="59">
        <f t="shared" ref="CC68:CC131" si="65">CB68+(BT68+BU68)*44/12</f>
        <v>824.58203540319596</v>
      </c>
      <c r="CD68" s="59">
        <f ca="1">AVERAGE(OFFSET($CC$3,0,0,'Données projet'!$E$12+1,1))-AVERAGE(OFFSET($H$3,0,0,'Données projet'!$E$12+1,1))</f>
        <v>303.1504619632214</v>
      </c>
      <c r="CE68" s="59">
        <f t="shared" si="40"/>
        <v>188.09929616366503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1.4001414398249961</v>
      </c>
      <c r="CM68" s="21">
        <f>EXP(-LN(2)/2)*CM67+(1-EXP(-LN(2)/2))/(LN(2)/2)*CG68*CJ68*VLOOKUP('Données projet'!$B$12,Paramètres!$A$1:$I$89,3,0)*0.475*44/12</f>
        <v>3.972291076794647E-5</v>
      </c>
      <c r="CN68" s="22">
        <f t="shared" ref="CN68:CN131" si="66">SUM(CK68:CM68)</f>
        <v>1.4001811627357641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4.0999999999999996</v>
      </c>
      <c r="CT68" s="12">
        <f>IF('Données projet'!$A$140&gt;35,CT67+CS68-DB67,IF(A68&lt;'Données projet'!$A$140,$CQ$205^A68,IF(A68='Données projet'!$A$140,'Données projet'!$B$140,CT67+CS68-DB67)))</f>
        <v>253.49999999999972</v>
      </c>
      <c r="CU68" s="17">
        <f>CT68*VLOOKUP('Données projet'!$B$13,Paramètres!$A$1:$I$89,3,0)*VLOOKUP('Données projet'!$B$13,Paramètres!$A$1:$I$89,5,0)</f>
        <v>170.04779999999982</v>
      </c>
      <c r="CV68" s="13">
        <f t="shared" si="41"/>
        <v>43.100729020040831</v>
      </c>
      <c r="CW68" s="20">
        <f t="shared" ref="CW68:CW131" si="67">(CU68+CV68)*0.475*44/12</f>
        <v>371.23368804323746</v>
      </c>
      <c r="CX68" s="59">
        <f t="shared" ref="CX68:CX131" si="68">CW68+(CO68+CP68)*44/12</f>
        <v>664.56702137657078</v>
      </c>
      <c r="CY68" s="59">
        <f ca="1">AVERAGE(OFFSET($CX$3,0,0,'Données projet'!$E$13+1,1))-AVERAGE(OFFSET($H$3,0,0,'Données projet'!$E$13+1,1))</f>
        <v>156.63226020379989</v>
      </c>
      <c r="CZ68" s="59">
        <f t="shared" si="42"/>
        <v>196.0481096619543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3.2853007101575322</v>
      </c>
      <c r="DH68" s="21">
        <f>EXP(-LN(2)/2)*DH67+(1-EXP(-LN(2)/2))/(LN(2)/2)*DB68*DE68*VLOOKUP('Données projet'!$B$13,Paramètres!$A$1:$I$89,3,0)*0.475*44/12</f>
        <v>4.894952951875331E-5</v>
      </c>
      <c r="DI68" s="22">
        <f t="shared" ref="DI68:DI131" si="69">SUM(DF68:DH68)</f>
        <v>3.2853496596870508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-8.5265128291212022E-14</v>
      </c>
      <c r="DP68" s="17">
        <f>DO68*VLOOKUP('Données projet'!$B$14,Paramètres!$A$1:$I$89,3,0)*VLOOKUP('Données projet'!$B$14,Paramètres!$A$1:$I$89,5,0)</f>
        <v>-7.7147888077888636E-14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225.28075317732998</v>
      </c>
      <c r="DU68" s="59">
        <f t="shared" si="44"/>
        <v>358.43407531256207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1.1217620425655266</v>
      </c>
      <c r="EB68" s="21">
        <f>EXP(-LN(2)/25)*EB67+(1-EXP(-LN(2)/25))/(LN(2)/25)*Calculateur!DW68*Calculateur!DY68*VLOOKUP('Données projet'!$B$14,Paramètres!$A$1:$I$89,3,0)*0.475*44/12</f>
        <v>3.1345233372704517</v>
      </c>
      <c r="EC68" s="21">
        <f>EXP(-LN(2)/2)*EC67+(1-EXP(-LN(2)/2))/(LN(2)/2)*DW68*DZ68*VLOOKUP('Données projet'!$B$14,Paramètres!$A$1:$I$89,3,0)*0.475*44/12</f>
        <v>2.3812746144833034E-5</v>
      </c>
      <c r="ED68" s="22">
        <f t="shared" ref="ED68:ED131" si="72">SUM(EA68:EC68)</f>
        <v>4.2563091925821226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13.4</v>
      </c>
      <c r="EJ68" s="12">
        <f>IF('Données projet'!$A$192&gt;35,EJ67+EI68-ER67,IF(A68&lt;'Données projet'!$A$192,$EG$205^A68,IF(A68='Données projet'!$A$192,'Données projet'!$B$192,EJ67+EI68-ER67)))</f>
        <v>546.99999999999977</v>
      </c>
      <c r="EK68" s="17">
        <f>EJ68*VLOOKUP('Données projet'!$B$15,Paramètres!$A$1:$I$89,3,0)*VLOOKUP('Données projet'!$B$15,Paramètres!$A$1:$I$89,5,0)</f>
        <v>305.77299999999985</v>
      </c>
      <c r="EL68" s="13">
        <f t="shared" si="45"/>
        <v>72.385360202068057</v>
      </c>
      <c r="EM68" s="20">
        <f t="shared" ref="EM68:EM131" si="73">(EK68+EL68)*0.475*44/12</f>
        <v>658.62581068526822</v>
      </c>
      <c r="EN68" s="59">
        <f t="shared" ref="EN68:EN131" si="74">EM68+(EE68+EF68)*44/12</f>
        <v>951.95914401860159</v>
      </c>
      <c r="EO68" s="59">
        <f ca="1">AVERAGE(OFFSET($EN$3,0,0,'Données projet'!$E$15+1,1))-AVERAGE(OFFSET($H$3,0,0,'Données projet'!$E$15+1,1))</f>
        <v>326.31232746914907</v>
      </c>
      <c r="EP68" s="59">
        <f t="shared" si="46"/>
        <v>330.17137761430297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2.2839725542193636</v>
      </c>
      <c r="EW68" s="21">
        <f>EXP(-LN(2)/25)*EW67+(1-EXP(-LN(2)/25))/(LN(2)/25)*Calculateur!ER68*Calculateur!ET68*VLOOKUP('Données projet'!$B$15,Paramètres!$A$1:$I$89,3,0)*0.475*44/12</f>
        <v>11.433409387770203</v>
      </c>
      <c r="EX68" s="21">
        <f>EXP(-LN(2)/2)*EX67+(1-EXP(-LN(2)/2))/(LN(2)/2)*ER68*EU68*VLOOKUP('Données projet'!$B$15,Paramètres!$A$1:$I$89,3,0)*0.475*44/12</f>
        <v>1.7545005207125026E-4</v>
      </c>
      <c r="EY68" s="22">
        <f t="shared" ref="EY68:EY131" si="75">SUM(EV68:EX68)</f>
        <v>13.717557392041638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7.8</v>
      </c>
      <c r="FE68" s="12">
        <f>IF('Données projet'!$A$218&gt;35,FE67+FD68-FM67,IF(A68&lt;'Données projet'!$A$218,$FB$205^A68,IF(A68='Données projet'!$A$218,'Données projet'!$B$218,FE67+FD68-FM67)))</f>
        <v>387.99999999999994</v>
      </c>
      <c r="FF68" s="17">
        <f>FE68*VLOOKUP('Données projet'!$B$16,Paramètres!$A$1:$I$89,3,0)*VLOOKUP('Données projet'!$B$16,Paramètres!$A$1:$I$89,5,0)</f>
        <v>242.11199999999994</v>
      </c>
      <c r="FG68" s="13">
        <f t="shared" si="47"/>
        <v>58.893705600066006</v>
      </c>
      <c r="FH68" s="20">
        <f t="shared" ref="FH68:FH131" si="76">(FF68+FG68)*0.475*44/12</f>
        <v>524.2516039201148</v>
      </c>
      <c r="FI68" s="59">
        <f t="shared" ref="FI68:FI131" si="77">FH68+(EZ68+FA68)*44/12</f>
        <v>817.58493725344806</v>
      </c>
      <c r="FJ68" s="59">
        <f ca="1">AVERAGE(OFFSET($FI$3,0,0,'Données projet'!$E$16+1,1))-AVERAGE(OFFSET($H$3,0,0,'Données projet'!$E$16+1,1))</f>
        <v>255.41017495879987</v>
      </c>
      <c r="FK68" s="59">
        <f t="shared" si="48"/>
        <v>297.50513563712764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4.1719921497791317</v>
      </c>
      <c r="FR68" s="21">
        <f>EXP(-LN(2)/25)*FR67+(1-EXP(-LN(2)/25))/(LN(2)/25)*Calculateur!FM68*Calculateur!FO68*VLOOKUP('Données projet'!$B$16,Paramètres!$A$1:$I$89,3,0)*0.475*44/12</f>
        <v>10.560705048571782</v>
      </c>
      <c r="FS68" s="21">
        <f>EXP(-LN(2)/2)*FS67+(1-EXP(-LN(2)/2))/(LN(2)/2)*FM68*FP68*VLOOKUP('Données projet'!$B$16,Paramètres!$A$1:$I$89,3,0)*0.475*44/12</f>
        <v>1.3163946321059777E-4</v>
      </c>
      <c r="FT68" s="22">
        <f t="shared" ref="FT68:FT131" si="78">SUM(FQ68:FS68)</f>
        <v>14.732828837814123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10.7</v>
      </c>
      <c r="FZ68" s="12">
        <f>IF('Données projet'!$A$244&gt;35,FZ67+FY68-GH67,IF(A68&lt;'Données projet'!$A$244,$FW$205^A68,IF(A68='Données projet'!$A$244,'Données projet'!$B$244,FZ67+FY68-GH67)))</f>
        <v>436.50000000000023</v>
      </c>
      <c r="GA68" s="17">
        <f>FZ68*VLOOKUP('Données projet'!$B$17,Paramètres!$A$1:$I$89,3,0)*VLOOKUP('Données projet'!$B$17,Paramètres!$A$1:$I$89,5,0)</f>
        <v>261.02700000000016</v>
      </c>
      <c r="GB68" s="13">
        <f t="shared" si="49"/>
        <v>62.941242601628787</v>
      </c>
      <c r="GC68" s="20">
        <f t="shared" ref="GC68:GC131" si="79">(GA68+GB68)*0.475*44/12</f>
        <v>564.24468919783703</v>
      </c>
      <c r="GD68" s="59">
        <f t="shared" ref="GD68:GD131" si="80">GC68+(FU68+FV68)*44/12</f>
        <v>857.57802253117029</v>
      </c>
      <c r="GE68" s="59">
        <f ca="1">AVERAGE(OFFSET($GD$3,0,0,'Données projet'!$E$17+1,1))-AVERAGE(OFFSET($H$3,0,0,'Données projet'!$E$17+1,1))</f>
        <v>259.30247982593914</v>
      </c>
      <c r="GF68" s="59">
        <f t="shared" si="50"/>
        <v>275.24740346220779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6.8332341491742632</v>
      </c>
      <c r="GN68" s="21">
        <f>EXP(-LN(2)/2)*GN67+(1-EXP(-LN(2)/2))/(LN(2)/2)*GH68*GK68*VLOOKUP('Données projet'!$B$17,Paramètres!$A$1:$I$89,3,0)*0.475*44/12</f>
        <v>1.5472530329296372E-4</v>
      </c>
      <c r="GO68" s="21">
        <f t="shared" ref="GO68:GO131" si="81">SUM(GL68:GN68)</f>
        <v>6.8333888744775564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4.0999999999999996</v>
      </c>
      <c r="GU68" s="12">
        <f>IF('Données projet'!$A$270&gt;35,GU67+GT68-HC67,IF(A68&lt;'Données projet'!$A$270,$GR$205^A68,IF(A68='Données projet'!$A$270,'Données projet'!$B$270,GU67+GT68-HC67)))</f>
        <v>253.49999999999972</v>
      </c>
      <c r="GV68" s="17">
        <f>GU68*VLOOKUP('Données projet'!$B$18,Paramètres!$A$1:$I$89,3,0)*VLOOKUP('Données projet'!$B$18,Paramètres!$A$1:$I$89,5,0)</f>
        <v>201.68459999999979</v>
      </c>
      <c r="GW68" s="13">
        <f t="shared" si="51"/>
        <v>50.114210893233739</v>
      </c>
      <c r="GX68" s="20">
        <f t="shared" ref="GX68:GX131" si="82">(GV68+GW68)*0.475*44/12</f>
        <v>438.54959563904839</v>
      </c>
      <c r="GY68" s="59">
        <f t="shared" ref="GY68:GY131" si="83">GX68+(GP68+GQ68)*44/12</f>
        <v>731.88292897238171</v>
      </c>
      <c r="GZ68" s="59">
        <f ca="1">AVERAGE(OFFSET($GY$3,0,0,'Données projet'!$E$18+1,1))-AVERAGE(OFFSET($H$3,0,0,'Données projet'!$E$18+1,1))</f>
        <v>199.58763537752952</v>
      </c>
      <c r="HA68" s="59">
        <f t="shared" si="52"/>
        <v>242.62852778451929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0</v>
      </c>
      <c r="HH68" s="21">
        <f>EXP(-LN(2)/25)*HH67+(1-EXP(-LN(2)/25))/(LN(2)/25)*Calculateur!HC68*Calculateur!HE68*VLOOKUP('Données projet'!$B$18,Paramètres!$A$1:$I$89,3,0)*0.475*44/12</f>
        <v>3.8965194469310247</v>
      </c>
      <c r="HI68" s="21">
        <f>EXP(-LN(2)/2)*HI67+(1-EXP(-LN(2)/2))/(LN(2)/2)*HC68*HF68*VLOOKUP('Données projet'!$B$18,Paramètres!$A$1:$I$89,3,0)*0.475*44/12</f>
        <v>5.8056418731544678E-5</v>
      </c>
      <c r="HJ68" s="22">
        <f t="shared" ref="HJ68:HJ131" si="84">SUM(HG68:HI68)</f>
        <v>3.8965775033497563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235.00000000000017</v>
      </c>
      <c r="O69" s="13">
        <f>N69*VLOOKUP('Données projet'!$B$9,Paramètres!$A$1:$I$89,3,0)*VLOOKUP('Données projet'!$B$9,Paramètres!$A$1:$I$89,5,0)</f>
        <v>212.62800000000016</v>
      </c>
      <c r="P69" s="13">
        <f t="shared" ref="P69:P132" si="87">EXP(-1.0587+0.8836*LN(O69)+0.284)</f>
        <v>52.509453483719085</v>
      </c>
      <c r="Q69" s="20">
        <f t="shared" si="54"/>
        <v>461.78106481747767</v>
      </c>
      <c r="R69" s="59">
        <f t="shared" si="55"/>
        <v>755.11439815081098</v>
      </c>
      <c r="S69" s="59">
        <f ca="1">AVERAGE(OFFSET($R$3,0,0,'Données projet'!$E$9+1,1))-AVERAGE(OFFSET($H$3,0,0,'Données projet'!$E$9+1,1))</f>
        <v>237.22177246688199</v>
      </c>
      <c r="T69" s="59">
        <f t="shared" ref="T69:T132" si="88">$T$3</f>
        <v>149.27472147904302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1.1447472596278132</v>
      </c>
      <c r="AB69" s="21">
        <f>EXP(-LN(2)/2)*AB68+(1-EXP(-LN(2)/2))/(LN(2)/2)*V69*Y69*VLOOKUP('Données projet'!$B$9,Paramètres!$A$1:$I$89,3,0)*0.475*44/12</f>
        <v>2.3610488336290082E-5</v>
      </c>
      <c r="AC69" s="22">
        <f t="shared" si="57"/>
        <v>1.1447708701161494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235.00000000000017</v>
      </c>
      <c r="AJ69" s="13">
        <f>AI69*VLOOKUP('Données projet'!$B$10,Paramètres!$A$1:$I$89,3,0)*VLOOKUP('Données projet'!$B$10,Paramètres!$A$1:$I$89,5,0)</f>
        <v>238.29000000000019</v>
      </c>
      <c r="AK69" s="13">
        <f t="shared" ref="AK69:AK132" si="89">EXP(-1.0587+0.8836*LN(AJ69)+0.284)</f>
        <v>58.071462681001563</v>
      </c>
      <c r="AL69" s="20">
        <f t="shared" si="58"/>
        <v>516.16288083607799</v>
      </c>
      <c r="AM69" s="59">
        <f t="shared" si="59"/>
        <v>809.49621416941136</v>
      </c>
      <c r="AN69" s="59">
        <f ca="1">AVERAGE(OFFSET($AM$3,0,0,'Données projet'!$E$10+1,1))-AVERAGE(OFFSET($H$3,0,0,'Données projet'!$E$10+1,1))</f>
        <v>279.20364724206644</v>
      </c>
      <c r="AO69" s="59">
        <f t="shared" ref="AO69:AO132" si="90">$AO$3</f>
        <v>173.99850582760712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1.2829064116518598</v>
      </c>
      <c r="AW69" s="21">
        <f>EXP(-LN(2)/2)*AW68+(1-EXP(-LN(2)/2))/(LN(2)/2)*AQ69*AT69*VLOOKUP('Données projet'!$B$10,Paramètres!$A$1:$I$89,3,0)*0.475*44/12</f>
        <v>2.6460030032049226E-5</v>
      </c>
      <c r="AX69" s="21">
        <f t="shared" si="60"/>
        <v>1.282932871681892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15.5</v>
      </c>
      <c r="BD69" s="12">
        <f>IF('Données projet'!$A$88&gt;35,BD68+BC69-BL68,IF(A69&lt;'Données projet'!$A$88,$BA$205^A69,IF(A69='Données projet'!$A$88,'Données projet'!$B$88,BD68+BC69-BL68)))</f>
        <v>384.39999999999986</v>
      </c>
      <c r="BE69" s="13">
        <f>BD69*VLOOKUP('Données projet'!$B$11,Paramètres!$A$1:$I$89,3,0)*VLOOKUP('Données projet'!$B$11,Paramètres!$A$1:$I$89,5,0)</f>
        <v>179.89919999999995</v>
      </c>
      <c r="BF69" s="13">
        <f t="shared" ref="BF69:BF132" si="91">EXP(-1.0587+0.8836*LN(BE69)+0.284)</f>
        <v>45.299759292628586</v>
      </c>
      <c r="BG69" s="20">
        <f t="shared" si="61"/>
        <v>392.22152076799466</v>
      </c>
      <c r="BH69" s="59">
        <f t="shared" si="62"/>
        <v>685.55485410132792</v>
      </c>
      <c r="BI69" s="59">
        <f ca="1">AVERAGE(OFFSET($BH$3,0,0,'Données projet'!$E$11+1,1))-AVERAGE(OFFSET($H$3,0,0,'Données projet'!$E$11+1,1))</f>
        <v>215.23235148064941</v>
      </c>
      <c r="BJ69" s="59">
        <f t="shared" ref="BJ69:BJ132" si="92">$BJ$3</f>
        <v>184.07239726900434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1.5365571842574741</v>
      </c>
      <c r="BQ69" s="21">
        <f>EXP(-LN(2)/25)*BQ68+(1-EXP(-LN(2)/25))/(LN(2)/25)*Calculateur!BL69*Calculateur!BN69*VLOOKUP('Données projet'!$B$11,Paramètres!$A$1:$I$89,3,0)*0.475*44/12</f>
        <v>2.8952673211549351</v>
      </c>
      <c r="BR69" s="21">
        <f>EXP(-LN(2)/2)*BR68+(1-EXP(-LN(2)/2))/(LN(2)/2)*BL69*BO69*VLOOKUP('Données projet'!$B$11,Paramètres!$A$1:$I$89,3,0)*0.475*44/12</f>
        <v>3.7506776734527557E-5</v>
      </c>
      <c r="BS69" s="22">
        <f t="shared" si="63"/>
        <v>4.4318620121891437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</v>
      </c>
      <c r="BY69" s="12">
        <f>IF('Données projet'!$A$114&gt;35,BY68+BX69-CG68,IF(A69&lt;'Données projet'!$A$114,$BV$205^A69,IF(A69='Données projet'!$A$114,'Données projet'!$B$114,BY68+BX69-CG68)))</f>
        <v>235.00000000000017</v>
      </c>
      <c r="BZ69" s="13">
        <f>BY69*VLOOKUP('Données projet'!$B$12,Paramètres!$A$1:$I$89,3,0)*VLOOKUP('Données projet'!$B$12,Paramètres!$A$1:$I$89,5,0)</f>
        <v>252.95400000000015</v>
      </c>
      <c r="CA69" s="13">
        <f t="shared" ref="CA69:CA132" si="93">EXP(-1.0587+0.8836*LN(BZ69)+0.284)</f>
        <v>61.218062391350081</v>
      </c>
      <c r="CB69" s="20">
        <f t="shared" si="64"/>
        <v>547.18300866493496</v>
      </c>
      <c r="CC69" s="59">
        <f t="shared" si="65"/>
        <v>840.51634199826822</v>
      </c>
      <c r="CD69" s="59">
        <f ca="1">AVERAGE(OFFSET($CC$3,0,0,'Données projet'!$E$12+1,1))-AVERAGE(OFFSET($H$3,0,0,'Données projet'!$E$12+1,1))</f>
        <v>303.1504619632214</v>
      </c>
      <c r="CE69" s="59">
        <f t="shared" ref="CE69:CE132" si="94">$CE$3</f>
        <v>188.09929616366503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1.3618544985227432</v>
      </c>
      <c r="CM69" s="21">
        <f>EXP(-LN(2)/2)*CM68+(1-EXP(-LN(2)/2))/(LN(2)/2)*CG69*CJ69*VLOOKUP('Données projet'!$B$12,Paramètres!$A$1:$I$89,3,0)*0.475*44/12</f>
        <v>2.8088339572483077E-5</v>
      </c>
      <c r="CN69" s="22">
        <f t="shared" si="66"/>
        <v>1.3618825868623157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4.0999999999999996</v>
      </c>
      <c r="CT69" s="12">
        <f>IF('Données projet'!$A$140&gt;35,CT68+CS69-DB68,IF(A69&lt;'Données projet'!$A$140,$CQ$205^A69,IF(A69='Données projet'!$A$140,'Données projet'!$B$140,CT68+CS69-DB68)))</f>
        <v>257.59999999999974</v>
      </c>
      <c r="CU69" s="17">
        <f>CT69*VLOOKUP('Données projet'!$B$13,Paramètres!$A$1:$I$89,3,0)*VLOOKUP('Données projet'!$B$13,Paramètres!$A$1:$I$89,5,0)</f>
        <v>172.79807999999983</v>
      </c>
      <c r="CV69" s="13">
        <f t="shared" ref="CV69:CV132" si="95">EXP(-1.0587+0.8836*LN(CU69)+0.284)</f>
        <v>43.716103757502381</v>
      </c>
      <c r="CW69" s="20">
        <f t="shared" si="67"/>
        <v>377.09553671098297</v>
      </c>
      <c r="CX69" s="59">
        <f t="shared" si="68"/>
        <v>670.42887004431623</v>
      </c>
      <c r="CY69" s="59">
        <f ca="1">AVERAGE(OFFSET($CX$3,0,0,'Données projet'!$E$13+1,1))-AVERAGE(OFFSET($H$3,0,0,'Données projet'!$E$13+1,1))</f>
        <v>156.63226020379989</v>
      </c>
      <c r="CZ69" s="59">
        <f t="shared" ref="CZ69:CZ132" si="96">$CZ$3</f>
        <v>196.0481096619543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3.1954639894718189</v>
      </c>
      <c r="DH69" s="21">
        <f>EXP(-LN(2)/2)*DH68+(1-EXP(-LN(2)/2))/(LN(2)/2)*DB69*DE69*VLOOKUP('Données projet'!$B$13,Paramètres!$A$1:$I$89,3,0)*0.475*44/12</f>
        <v>3.4612544258601545E-5</v>
      </c>
      <c r="DI69" s="22">
        <f t="shared" si="69"/>
        <v>3.1954986020160776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-8.5265128291212022E-14</v>
      </c>
      <c r="DP69" s="17">
        <f>DO69*VLOOKUP('Données projet'!$B$14,Paramètres!$A$1:$I$89,3,0)*VLOOKUP('Données projet'!$B$14,Paramètres!$A$1:$I$89,5,0)</f>
        <v>-7.7147888077888636E-14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225.28075317732998</v>
      </c>
      <c r="DU69" s="59">
        <f t="shared" ref="DU69:DU132" si="98">$DU$3</f>
        <v>358.43407531256207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1.0997649731181027</v>
      </c>
      <c r="EB69" s="21">
        <f>EXP(-LN(2)/25)*EB68+(1-EXP(-LN(2)/25))/(LN(2)/25)*Calculateur!DW69*Calculateur!DY69*VLOOKUP('Données projet'!$B$14,Paramètres!$A$1:$I$89,3,0)*0.475*44/12</f>
        <v>3.0488096317753728</v>
      </c>
      <c r="EC69" s="21">
        <f>EXP(-LN(2)/2)*EC68+(1-EXP(-LN(2)/2))/(LN(2)/2)*DW69*DZ69*VLOOKUP('Données projet'!$B$14,Paramètres!$A$1:$I$89,3,0)*0.475*44/12</f>
        <v>1.6838154277685256E-5</v>
      </c>
      <c r="ED69" s="22">
        <f t="shared" si="72"/>
        <v>4.1485914430477537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13.4</v>
      </c>
      <c r="EJ69" s="12">
        <f>IF('Données projet'!$A$192&gt;35,EJ68+EI69-ER68,IF(A69&lt;'Données projet'!$A$192,$EG$205^A69,IF(A69='Données projet'!$A$192,'Données projet'!$B$192,EJ68+EI69-ER68)))</f>
        <v>560.39999999999975</v>
      </c>
      <c r="EK69" s="17">
        <f>EJ69*VLOOKUP('Données projet'!$B$15,Paramètres!$A$1:$I$89,3,0)*VLOOKUP('Données projet'!$B$15,Paramètres!$A$1:$I$89,5,0)</f>
        <v>313.26359999999988</v>
      </c>
      <c r="EL69" s="13">
        <f t="shared" ref="EL69:EL132" si="99">EXP(-1.0587+0.8836*LN(EK69)+0.284)</f>
        <v>73.949983766039026</v>
      </c>
      <c r="EM69" s="20">
        <f t="shared" si="73"/>
        <v>674.39699172585108</v>
      </c>
      <c r="EN69" s="59">
        <f t="shared" si="74"/>
        <v>967.73032505918445</v>
      </c>
      <c r="EO69" s="59">
        <f ca="1">AVERAGE(OFFSET($EN$3,0,0,'Données projet'!$E$15+1,1))-AVERAGE(OFFSET($H$3,0,0,'Données projet'!$E$15+1,1))</f>
        <v>326.31232746914907</v>
      </c>
      <c r="EP69" s="59">
        <f t="shared" ref="EP69:EP132" si="100">$EP$3</f>
        <v>330.17137761430297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2.2391852455168242</v>
      </c>
      <c r="EW69" s="21">
        <f>EXP(-LN(2)/25)*EW68+(1-EXP(-LN(2)/25))/(LN(2)/25)*Calculateur!ER69*Calculateur!ET69*VLOOKUP('Données projet'!$B$15,Paramètres!$A$1:$I$89,3,0)*0.475*44/12</f>
        <v>11.120762206804759</v>
      </c>
      <c r="EX69" s="21">
        <f>EXP(-LN(2)/2)*EX68+(1-EXP(-LN(2)/2))/(LN(2)/2)*ER69*EU69*VLOOKUP('Données projet'!$B$15,Paramètres!$A$1:$I$89,3,0)*0.475*44/12</f>
        <v>1.2406192157911393E-4</v>
      </c>
      <c r="EY69" s="22">
        <f t="shared" si="75"/>
        <v>13.360071514243161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7.8</v>
      </c>
      <c r="FE69" s="12">
        <f>IF('Données projet'!$A$218&gt;35,FE68+FD69-FM68,IF(A69&lt;'Données projet'!$A$218,$FB$205^A69,IF(A69='Données projet'!$A$218,'Données projet'!$B$218,FE68+FD69-FM68)))</f>
        <v>395.79999999999995</v>
      </c>
      <c r="FF69" s="17">
        <f>FE69*VLOOKUP('Données projet'!$B$16,Paramètres!$A$1:$I$89,3,0)*VLOOKUP('Données projet'!$B$16,Paramètres!$A$1:$I$89,5,0)</f>
        <v>246.97919999999999</v>
      </c>
      <c r="FG69" s="13">
        <f t="shared" ref="FG69:FG132" si="101">EXP(-1.0587+0.8836*LN(FF69)+0.284)</f>
        <v>59.938625040227144</v>
      </c>
      <c r="FH69" s="20">
        <f t="shared" si="76"/>
        <v>534.54854527839552</v>
      </c>
      <c r="FI69" s="59">
        <f t="shared" si="77"/>
        <v>827.88187861172878</v>
      </c>
      <c r="FJ69" s="59">
        <f ca="1">AVERAGE(OFFSET($FI$3,0,0,'Données projet'!$E$16+1,1))-AVERAGE(OFFSET($H$3,0,0,'Données projet'!$E$16+1,1))</f>
        <v>255.41017495879987</v>
      </c>
      <c r="FK69" s="59">
        <f t="shared" ref="FK69:FK132" si="102">$FK$3</f>
        <v>297.50513563712764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4.0901819283859098</v>
      </c>
      <c r="FR69" s="21">
        <f>EXP(-LN(2)/25)*FR68+(1-EXP(-LN(2)/25))/(LN(2)/25)*Calculateur!FM69*Calculateur!FO69*VLOOKUP('Données projet'!$B$16,Paramètres!$A$1:$I$89,3,0)*0.475*44/12</f>
        <v>10.271922013655244</v>
      </c>
      <c r="FS69" s="21">
        <f>EXP(-LN(2)/2)*FS68+(1-EXP(-LN(2)/2))/(LN(2)/2)*FM69*FP69*VLOOKUP('Données projet'!$B$16,Paramètres!$A$1:$I$89,3,0)*0.475*44/12</f>
        <v>9.3083157107970733E-5</v>
      </c>
      <c r="FT69" s="22">
        <f t="shared" si="78"/>
        <v>14.362197025198261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10.7</v>
      </c>
      <c r="FZ69" s="12">
        <f>IF('Données projet'!$A$244&gt;35,FZ68+FY69-GH68,IF(A69&lt;'Données projet'!$A$244,$FW$205^A69,IF(A69='Données projet'!$A$244,'Données projet'!$B$244,FZ68+FY69-GH68)))</f>
        <v>447.20000000000022</v>
      </c>
      <c r="GA69" s="17">
        <f>FZ69*VLOOKUP('Données projet'!$B$17,Paramètres!$A$1:$I$89,3,0)*VLOOKUP('Données projet'!$B$17,Paramètres!$A$1:$I$89,5,0)</f>
        <v>267.42560000000014</v>
      </c>
      <c r="GB69" s="13">
        <f t="shared" ref="GB69:GB132" si="103">EXP(-1.0587+0.8836*LN(GA69)+0.284)</f>
        <v>64.302612367699822</v>
      </c>
      <c r="GC69" s="20">
        <f t="shared" si="79"/>
        <v>577.75996987374401</v>
      </c>
      <c r="GD69" s="59">
        <f t="shared" si="80"/>
        <v>871.09330320707727</v>
      </c>
      <c r="GE69" s="59">
        <f ca="1">AVERAGE(OFFSET($GD$3,0,0,'Données projet'!$E$17+1,1))-AVERAGE(OFFSET($H$3,0,0,'Données projet'!$E$17+1,1))</f>
        <v>259.30247982593914</v>
      </c>
      <c r="GF69" s="59">
        <f t="shared" ref="GF69:GF132" si="104">$GF$3</f>
        <v>275.24740346220779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6.646379002020927</v>
      </c>
      <c r="GN69" s="21">
        <f>EXP(-LN(2)/2)*GN68+(1-EXP(-LN(2)/2))/(LN(2)/2)*GH69*GK69*VLOOKUP('Données projet'!$B$17,Paramètres!$A$1:$I$89,3,0)*0.475*44/12</f>
        <v>1.094073111795999E-4</v>
      </c>
      <c r="GO69" s="21">
        <f t="shared" si="81"/>
        <v>6.6464884093321066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4.0999999999999996</v>
      </c>
      <c r="GU69" s="12">
        <f>IF('Données projet'!$A$270&gt;35,GU68+GT69-HC68,IF(A69&lt;'Données projet'!$A$270,$GR$205^A69,IF(A69='Données projet'!$A$270,'Données projet'!$B$270,GU68+GT69-HC68)))</f>
        <v>257.59999999999974</v>
      </c>
      <c r="GV69" s="17">
        <f>GU69*VLOOKUP('Données projet'!$B$18,Paramètres!$A$1:$I$89,3,0)*VLOOKUP('Données projet'!$B$18,Paramètres!$A$1:$I$89,5,0)</f>
        <v>204.94655999999981</v>
      </c>
      <c r="GW69" s="13">
        <f t="shared" ref="GW69:GW132" si="105">EXP(-1.0587+0.8836*LN(GV69)+0.284)</f>
        <v>50.829721281867194</v>
      </c>
      <c r="GX69" s="20">
        <f t="shared" si="82"/>
        <v>445.477023232585</v>
      </c>
      <c r="GY69" s="59">
        <f t="shared" si="83"/>
        <v>738.81035656591826</v>
      </c>
      <c r="GZ69" s="59">
        <f ca="1">AVERAGE(OFFSET($GY$3,0,0,'Données projet'!$E$18+1,1))-AVERAGE(OFFSET($H$3,0,0,'Données projet'!$E$18+1,1))</f>
        <v>199.58763537752952</v>
      </c>
      <c r="HA69" s="59">
        <f t="shared" ref="HA69:HA132" si="106">$HA$3</f>
        <v>242.62852778451929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0</v>
      </c>
      <c r="HH69" s="21">
        <f>EXP(-LN(2)/25)*HH68+(1-EXP(-LN(2)/25))/(LN(2)/25)*Calculateur!HC69*Calculateur!HE69*VLOOKUP('Données projet'!$B$18,Paramètres!$A$1:$I$89,3,0)*0.475*44/12</f>
        <v>3.7899689177456439</v>
      </c>
      <c r="HI69" s="21">
        <f>EXP(-LN(2)/2)*HI68+(1-EXP(-LN(2)/2))/(LN(2)/2)*HC69*HF69*VLOOKUP('Données projet'!$B$18,Paramètres!$A$1:$I$89,3,0)*0.475*44/12</f>
        <v>4.1052087376480941E-5</v>
      </c>
      <c r="HJ69" s="22">
        <f t="shared" si="84"/>
        <v>3.7900099698330205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242.00000000000017</v>
      </c>
      <c r="O70" s="13">
        <f>N70*VLOOKUP('Données projet'!$B$9,Paramètres!$A$1:$I$89,3,0)*VLOOKUP('Données projet'!$B$9,Paramètres!$A$1:$I$89,5,0)</f>
        <v>218.96160000000017</v>
      </c>
      <c r="P70" s="13">
        <f t="shared" si="87"/>
        <v>53.889132503707479</v>
      </c>
      <c r="Q70" s="20">
        <f t="shared" si="54"/>
        <v>475.2150257772908</v>
      </c>
      <c r="R70" s="59">
        <f t="shared" si="55"/>
        <v>768.54835911062412</v>
      </c>
      <c r="S70" s="59">
        <f ca="1">AVERAGE(OFFSET($R$3,0,0,'Données projet'!$E$9+1,1))-AVERAGE(OFFSET($H$3,0,0,'Données projet'!$E$9+1,1))</f>
        <v>237.22177246688199</v>
      </c>
      <c r="T70" s="59">
        <f t="shared" si="88"/>
        <v>149.27472147904302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1.1134440856136487</v>
      </c>
      <c r="AB70" s="21">
        <f>EXP(-LN(2)/2)*AB69+(1-EXP(-LN(2)/2))/(LN(2)/2)*V70*Y70*VLOOKUP('Données projet'!$B$9,Paramètres!$A$1:$I$89,3,0)*0.475*44/12</f>
        <v>1.6695136409716603E-5</v>
      </c>
      <c r="AC70" s="22">
        <f t="shared" si="57"/>
        <v>1.1134607807500585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242.00000000000017</v>
      </c>
      <c r="AJ70" s="13">
        <f>AI70*VLOOKUP('Données projet'!$B$10,Paramètres!$A$1:$I$89,3,0)*VLOOKUP('Données projet'!$B$10,Paramètres!$A$1:$I$89,5,0)</f>
        <v>245.3880000000002</v>
      </c>
      <c r="AK70" s="13">
        <f t="shared" si="89"/>
        <v>59.597282764919626</v>
      </c>
      <c r="AL70" s="20">
        <f t="shared" si="58"/>
        <v>531.18270081556864</v>
      </c>
      <c r="AM70" s="59">
        <f t="shared" si="59"/>
        <v>824.51603414890201</v>
      </c>
      <c r="AN70" s="59">
        <f ca="1">AVERAGE(OFFSET($AM$3,0,0,'Données projet'!$E$10+1,1))-AVERAGE(OFFSET($H$3,0,0,'Données projet'!$E$10+1,1))</f>
        <v>279.20364724206644</v>
      </c>
      <c r="AO70" s="59">
        <f t="shared" si="90"/>
        <v>173.99850582760712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1.2478252683601236</v>
      </c>
      <c r="AW70" s="21">
        <f>EXP(-LN(2)/2)*AW69+(1-EXP(-LN(2)/2))/(LN(2)/2)*AQ70*AT70*VLOOKUP('Données projet'!$B$10,Paramètres!$A$1:$I$89,3,0)*0.475*44/12</f>
        <v>1.8710066666061708E-5</v>
      </c>
      <c r="AX70" s="21">
        <f t="shared" si="60"/>
        <v>1.2478439784267896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15.5</v>
      </c>
      <c r="BD70" s="12">
        <f>IF('Données projet'!$A$88&gt;35,BD69+BC70-BL69,IF(A70&lt;'Données projet'!$A$88,$BA$205^A70,IF(A70='Données projet'!$A$88,'Données projet'!$B$88,BD69+BC70-BL69)))</f>
        <v>399.89999999999986</v>
      </c>
      <c r="BE70" s="13">
        <f>BD70*VLOOKUP('Données projet'!$B$11,Paramètres!$A$1:$I$89,3,0)*VLOOKUP('Données projet'!$B$11,Paramètres!$A$1:$I$89,5,0)</f>
        <v>187.15319999999994</v>
      </c>
      <c r="BF70" s="13">
        <f t="shared" si="91"/>
        <v>46.9100138680691</v>
      </c>
      <c r="BG70" s="20">
        <f t="shared" si="61"/>
        <v>407.66009748688685</v>
      </c>
      <c r="BH70" s="59">
        <f t="shared" si="62"/>
        <v>700.99343082022017</v>
      </c>
      <c r="BI70" s="59">
        <f ca="1">AVERAGE(OFFSET($BH$3,0,0,'Données projet'!$E$11+1,1))-AVERAGE(OFFSET($H$3,0,0,'Données projet'!$E$11+1,1))</f>
        <v>215.23235148064941</v>
      </c>
      <c r="BJ70" s="59">
        <f t="shared" si="92"/>
        <v>184.07239726900434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1.5064262350815258</v>
      </c>
      <c r="BQ70" s="21">
        <f>EXP(-LN(2)/25)*BQ69+(1-EXP(-LN(2)/25))/(LN(2)/25)*Calculateur!BL70*Calculateur!BN70*VLOOKUP('Données projet'!$B$11,Paramètres!$A$1:$I$89,3,0)*0.475*44/12</f>
        <v>2.8160960840024623</v>
      </c>
      <c r="BR70" s="21">
        <f>EXP(-LN(2)/2)*BR69+(1-EXP(-LN(2)/2))/(LN(2)/2)*BL70*BO70*VLOOKUP('Données projet'!$B$11,Paramètres!$A$1:$I$89,3,0)*0.475*44/12</f>
        <v>2.6521296169434269E-5</v>
      </c>
      <c r="BS70" s="22">
        <f t="shared" si="63"/>
        <v>4.3225488403801577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</v>
      </c>
      <c r="BY70" s="12">
        <f>IF('Données projet'!$A$114&gt;35,BY69+BX70-CG69,IF(A70&lt;'Données projet'!$A$114,$BV$205^A70,IF(A70='Données projet'!$A$114,'Données projet'!$B$114,BY69+BX70-CG69)))</f>
        <v>242.00000000000017</v>
      </c>
      <c r="BZ70" s="13">
        <f>BY70*VLOOKUP('Données projet'!$B$12,Paramètres!$A$1:$I$89,3,0)*VLOOKUP('Données projet'!$B$12,Paramètres!$A$1:$I$89,5,0)</f>
        <v>260.4888000000002</v>
      </c>
      <c r="CA70" s="13">
        <f t="shared" si="93"/>
        <v>62.826558970958821</v>
      </c>
      <c r="CB70" s="20">
        <f t="shared" si="64"/>
        <v>563.10758354108691</v>
      </c>
      <c r="CC70" s="59">
        <f t="shared" si="65"/>
        <v>856.44091687442028</v>
      </c>
      <c r="CD70" s="59">
        <f ca="1">AVERAGE(OFFSET($CC$3,0,0,'Données projet'!$E$12+1,1))-AVERAGE(OFFSET($H$3,0,0,'Données projet'!$E$12+1,1))</f>
        <v>303.1504619632214</v>
      </c>
      <c r="CE70" s="59">
        <f t="shared" si="94"/>
        <v>188.09929616366503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1.3246145156438234</v>
      </c>
      <c r="CM70" s="21">
        <f>EXP(-LN(2)/2)*CM69+(1-EXP(-LN(2)/2))/(LN(2)/2)*CG70*CJ70*VLOOKUP('Données projet'!$B$12,Paramètres!$A$1:$I$89,3,0)*0.475*44/12</f>
        <v>1.9861455383973235E-5</v>
      </c>
      <c r="CN70" s="22">
        <f t="shared" si="66"/>
        <v>1.3246343770992073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4.0999999999999996</v>
      </c>
      <c r="CT70" s="12">
        <f>IF('Données projet'!$A$140&gt;35,CT69+CS70-DB69,IF(A70&lt;'Données projet'!$A$140,$CQ$205^A70,IF(A70='Données projet'!$A$140,'Données projet'!$B$140,CT69+CS70-DB69)))</f>
        <v>261.69999999999976</v>
      </c>
      <c r="CU70" s="17">
        <f>CT70*VLOOKUP('Données projet'!$B$13,Paramètres!$A$1:$I$89,3,0)*VLOOKUP('Données projet'!$B$13,Paramètres!$A$1:$I$89,5,0)</f>
        <v>175.54835999999983</v>
      </c>
      <c r="CV70" s="13">
        <f t="shared" si="95"/>
        <v>44.330339431831803</v>
      </c>
      <c r="CW70" s="20">
        <f t="shared" si="67"/>
        <v>382.95540151044014</v>
      </c>
      <c r="CX70" s="59">
        <f t="shared" si="68"/>
        <v>676.28873484377345</v>
      </c>
      <c r="CY70" s="59">
        <f ca="1">AVERAGE(OFFSET($CX$3,0,0,'Données projet'!$E$13+1,1))-AVERAGE(OFFSET($H$3,0,0,'Données projet'!$E$13+1,1))</f>
        <v>156.63226020379989</v>
      </c>
      <c r="CZ70" s="59">
        <f t="shared" si="96"/>
        <v>196.0481096619543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3.1080838586375643</v>
      </c>
      <c r="DH70" s="21">
        <f>EXP(-LN(2)/2)*DH69+(1-EXP(-LN(2)/2))/(LN(2)/2)*DB70*DE70*VLOOKUP('Données projet'!$B$13,Paramètres!$A$1:$I$89,3,0)*0.475*44/12</f>
        <v>2.4474764759376655E-5</v>
      </c>
      <c r="DI70" s="22">
        <f t="shared" si="69"/>
        <v>3.1081083334023236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-8.5265128291212022E-14</v>
      </c>
      <c r="DP70" s="17">
        <f>DO70*VLOOKUP('Données projet'!$B$14,Paramètres!$A$1:$I$89,3,0)*VLOOKUP('Données projet'!$B$14,Paramètres!$A$1:$I$89,5,0)</f>
        <v>-7.7147888077888636E-14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225.28075317732998</v>
      </c>
      <c r="DU70" s="59">
        <f t="shared" si="98"/>
        <v>358.43407531256207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1.0781992527856552</v>
      </c>
      <c r="EB70" s="21">
        <f>EXP(-LN(2)/25)*EB69+(1-EXP(-LN(2)/25))/(LN(2)/25)*Calculateur!DW70*Calculateur!DY70*VLOOKUP('Données projet'!$B$14,Paramètres!$A$1:$I$89,3,0)*0.475*44/12</f>
        <v>2.9654397720645447</v>
      </c>
      <c r="EC70" s="21">
        <f>EXP(-LN(2)/2)*EC69+(1-EXP(-LN(2)/2))/(LN(2)/2)*DW70*DZ70*VLOOKUP('Données projet'!$B$14,Paramètres!$A$1:$I$89,3,0)*0.475*44/12</f>
        <v>1.1906373072416517E-5</v>
      </c>
      <c r="ED70" s="22">
        <f t="shared" si="72"/>
        <v>4.0436509312232722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13.4</v>
      </c>
      <c r="EJ70" s="12">
        <f>IF('Données projet'!$A$192&gt;35,EJ69+EI70-ER69,IF(A70&lt;'Données projet'!$A$192,$EG$205^A70,IF(A70='Données projet'!$A$192,'Données projet'!$B$192,EJ69+EI70-ER69)))</f>
        <v>573.79999999999973</v>
      </c>
      <c r="EK70" s="17">
        <f>EJ70*VLOOKUP('Données projet'!$B$15,Paramètres!$A$1:$I$89,3,0)*VLOOKUP('Données projet'!$B$15,Paramètres!$A$1:$I$89,5,0)</f>
        <v>320.75419999999986</v>
      </c>
      <c r="EL70" s="13">
        <f t="shared" si="99"/>
        <v>75.510258133660997</v>
      </c>
      <c r="EM70" s="20">
        <f t="shared" si="73"/>
        <v>690.16059791612599</v>
      </c>
      <c r="EN70" s="59">
        <f t="shared" si="74"/>
        <v>983.49393124945937</v>
      </c>
      <c r="EO70" s="59">
        <f ca="1">AVERAGE(OFFSET($EN$3,0,0,'Données projet'!$E$15+1,1))-AVERAGE(OFFSET($H$3,0,0,'Données projet'!$E$15+1,1))</f>
        <v>326.31232746914907</v>
      </c>
      <c r="EP70" s="59">
        <f t="shared" si="100"/>
        <v>330.17137761430297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2.1952761886203804</v>
      </c>
      <c r="EW70" s="21">
        <f>EXP(-LN(2)/25)*EW69+(1-EXP(-LN(2)/25))/(LN(2)/25)*Calculateur!ER70*Calculateur!ET70*VLOOKUP('Données projet'!$B$15,Paramètres!$A$1:$I$89,3,0)*0.475*44/12</f>
        <v>10.816664379444216</v>
      </c>
      <c r="EX70" s="21">
        <f>EXP(-LN(2)/2)*EX69+(1-EXP(-LN(2)/2))/(LN(2)/2)*ER70*EU70*VLOOKUP('Données projet'!$B$15,Paramètres!$A$1:$I$89,3,0)*0.475*44/12</f>
        <v>8.7725026035625131E-5</v>
      </c>
      <c r="EY70" s="22">
        <f t="shared" si="75"/>
        <v>13.012028293090632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7.8</v>
      </c>
      <c r="FE70" s="12">
        <f>IF('Données projet'!$A$218&gt;35,FE69+FD70-FM69,IF(A70&lt;'Données projet'!$A$218,$FB$205^A70,IF(A70='Données projet'!$A$218,'Données projet'!$B$218,FE69+FD70-FM69)))</f>
        <v>403.59999999999997</v>
      </c>
      <c r="FF70" s="17">
        <f>FE70*VLOOKUP('Données projet'!$B$16,Paramètres!$A$1:$I$89,3,0)*VLOOKUP('Données projet'!$B$16,Paramètres!$A$1:$I$89,5,0)</f>
        <v>251.84639999999999</v>
      </c>
      <c r="FG70" s="13">
        <f t="shared" si="101"/>
        <v>60.981150137731454</v>
      </c>
      <c r="FH70" s="20">
        <f t="shared" si="76"/>
        <v>544.84131648988216</v>
      </c>
      <c r="FI70" s="59">
        <f t="shared" si="77"/>
        <v>838.17464982321553</v>
      </c>
      <c r="FJ70" s="59">
        <f ca="1">AVERAGE(OFFSET($FI$3,0,0,'Données projet'!$E$16+1,1))-AVERAGE(OFFSET($H$3,0,0,'Données projet'!$E$16+1,1))</f>
        <v>255.41017495879987</v>
      </c>
      <c r="FK70" s="59">
        <f t="shared" si="102"/>
        <v>297.50513563712764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4.0099759555349008</v>
      </c>
      <c r="FR70" s="21">
        <f>EXP(-LN(2)/25)*FR69+(1-EXP(-LN(2)/25))/(LN(2)/25)*Calculateur!FM70*Calculateur!FO70*VLOOKUP('Données projet'!$B$16,Paramètres!$A$1:$I$89,3,0)*0.475*44/12</f>
        <v>9.9910357660149387</v>
      </c>
      <c r="FS70" s="21">
        <f>EXP(-LN(2)/2)*FS69+(1-EXP(-LN(2)/2))/(LN(2)/2)*FM70*FP70*VLOOKUP('Données projet'!$B$16,Paramètres!$A$1:$I$89,3,0)*0.475*44/12</f>
        <v>6.5819731605298886E-5</v>
      </c>
      <c r="FT70" s="22">
        <f t="shared" si="78"/>
        <v>14.001077541281445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10.7</v>
      </c>
      <c r="FZ70" s="12">
        <f>IF('Données projet'!$A$244&gt;35,FZ69+FY70-GH69,IF(A70&lt;'Données projet'!$A$244,$FW$205^A70,IF(A70='Données projet'!$A$244,'Données projet'!$B$244,FZ69+FY70-GH69)))</f>
        <v>457.9000000000002</v>
      </c>
      <c r="GA70" s="17">
        <f>FZ70*VLOOKUP('Données projet'!$B$17,Paramètres!$A$1:$I$89,3,0)*VLOOKUP('Données projet'!$B$17,Paramètres!$A$1:$I$89,5,0)</f>
        <v>273.82420000000013</v>
      </c>
      <c r="GB70" s="13">
        <f t="shared" si="103"/>
        <v>65.660195526774785</v>
      </c>
      <c r="GC70" s="20">
        <f t="shared" si="79"/>
        <v>591.26865554246626</v>
      </c>
      <c r="GD70" s="59">
        <f t="shared" si="80"/>
        <v>884.60198887579963</v>
      </c>
      <c r="GE70" s="59">
        <f ca="1">AVERAGE(OFFSET($GD$3,0,0,'Données projet'!$E$17+1,1))-AVERAGE(OFFSET($H$3,0,0,'Données projet'!$E$17+1,1))</f>
        <v>259.30247982593914</v>
      </c>
      <c r="GF70" s="59">
        <f t="shared" si="104"/>
        <v>275.24740346220779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6.4646334186927836</v>
      </c>
      <c r="GN70" s="21">
        <f>EXP(-LN(2)/2)*GN69+(1-EXP(-LN(2)/2))/(LN(2)/2)*GH70*GK70*VLOOKUP('Données projet'!$B$17,Paramètres!$A$1:$I$89,3,0)*0.475*44/12</f>
        <v>7.7362651646481861E-5</v>
      </c>
      <c r="GO70" s="21">
        <f t="shared" si="81"/>
        <v>6.4647107813444302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4.0999999999999996</v>
      </c>
      <c r="GU70" s="12">
        <f>IF('Données projet'!$A$270&gt;35,GU69+GT70-HC69,IF(A70&lt;'Données projet'!$A$270,$GR$205^A70,IF(A70='Données projet'!$A$270,'Données projet'!$B$270,GU69+GT70-HC69)))</f>
        <v>261.69999999999976</v>
      </c>
      <c r="GV70" s="17">
        <f>GU70*VLOOKUP('Données projet'!$B$18,Paramètres!$A$1:$I$89,3,0)*VLOOKUP('Données projet'!$B$18,Paramètres!$A$1:$I$89,5,0)</f>
        <v>208.20851999999979</v>
      </c>
      <c r="GW70" s="13">
        <f t="shared" si="105"/>
        <v>51.543907255547111</v>
      </c>
      <c r="GX70" s="20">
        <f t="shared" si="82"/>
        <v>452.40214413674408</v>
      </c>
      <c r="GY70" s="59">
        <f t="shared" si="83"/>
        <v>745.7354774700774</v>
      </c>
      <c r="GZ70" s="59">
        <f ca="1">AVERAGE(OFFSET($GY$3,0,0,'Données projet'!$E$18+1,1))-AVERAGE(OFFSET($H$3,0,0,'Données projet'!$E$18+1,1))</f>
        <v>199.58763537752952</v>
      </c>
      <c r="HA70" s="59">
        <f t="shared" si="106"/>
        <v>242.62852778451929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0</v>
      </c>
      <c r="HH70" s="21">
        <f>EXP(-LN(2)/25)*HH69+(1-EXP(-LN(2)/25))/(LN(2)/25)*Calculateur!HC70*Calculateur!HE70*VLOOKUP('Données projet'!$B$18,Paramètres!$A$1:$I$89,3,0)*0.475*44/12</f>
        <v>3.686332018384086</v>
      </c>
      <c r="HI70" s="21">
        <f>EXP(-LN(2)/2)*HI69+(1-EXP(-LN(2)/2))/(LN(2)/2)*HC70*HF70*VLOOKUP('Données projet'!$B$18,Paramètres!$A$1:$I$89,3,0)*0.475*44/12</f>
        <v>2.9028209365772339E-5</v>
      </c>
      <c r="HJ70" s="22">
        <f t="shared" si="84"/>
        <v>3.6863610465934515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249.00000000000017</v>
      </c>
      <c r="O71" s="13">
        <f>N71*VLOOKUP('Données projet'!$B$9,Paramètres!$A$1:$I$89,3,0)*VLOOKUP('Données projet'!$B$9,Paramètres!$A$1:$I$89,5,0)</f>
        <v>225.29520000000016</v>
      </c>
      <c r="P71" s="13">
        <f t="shared" si="87"/>
        <v>55.264173352293128</v>
      </c>
      <c r="Q71" s="20">
        <f t="shared" si="54"/>
        <v>488.64090858857736</v>
      </c>
      <c r="R71" s="59">
        <f t="shared" si="55"/>
        <v>781.97424192191068</v>
      </c>
      <c r="S71" s="59">
        <f ca="1">AVERAGE(OFFSET($R$3,0,0,'Données projet'!$E$9+1,1))-AVERAGE(OFFSET($H$3,0,0,'Données projet'!$E$9+1,1))</f>
        <v>237.22177246688199</v>
      </c>
      <c r="T71" s="59">
        <f t="shared" si="88"/>
        <v>149.27472147904302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1.0829968985390639</v>
      </c>
      <c r="AB71" s="21">
        <f>EXP(-LN(2)/2)*AB70+(1-EXP(-LN(2)/2))/(LN(2)/2)*V71*Y71*VLOOKUP('Données projet'!$B$9,Paramètres!$A$1:$I$89,3,0)*0.475*44/12</f>
        <v>1.1805244168145041E-5</v>
      </c>
      <c r="AC71" s="22">
        <f t="shared" si="57"/>
        <v>1.0830087037832321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249.00000000000017</v>
      </c>
      <c r="AJ71" s="13">
        <f>AI71*VLOOKUP('Données projet'!$B$10,Paramètres!$A$1:$I$89,3,0)*VLOOKUP('Données projet'!$B$10,Paramètres!$A$1:$I$89,5,0)</f>
        <v>252.48600000000019</v>
      </c>
      <c r="AK71" s="13">
        <f t="shared" si="89"/>
        <v>61.117973383957434</v>
      </c>
      <c r="AL71" s="20">
        <f t="shared" si="58"/>
        <v>546.19358697705945</v>
      </c>
      <c r="AM71" s="59">
        <f t="shared" si="59"/>
        <v>839.52692031039282</v>
      </c>
      <c r="AN71" s="59">
        <f ca="1">AVERAGE(OFFSET($AM$3,0,0,'Données projet'!$E$10+1,1))-AVERAGE(OFFSET($H$3,0,0,'Données projet'!$E$10+1,1))</f>
        <v>279.20364724206644</v>
      </c>
      <c r="AO71" s="59">
        <f t="shared" si="90"/>
        <v>173.99850582760712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1.2137034207765371</v>
      </c>
      <c r="AW71" s="21">
        <f>EXP(-LN(2)/2)*AW70+(1-EXP(-LN(2)/2))/(LN(2)/2)*AQ71*AT71*VLOOKUP('Données projet'!$B$10,Paramètres!$A$1:$I$89,3,0)*0.475*44/12</f>
        <v>1.3230015016024613E-5</v>
      </c>
      <c r="AX71" s="21">
        <f t="shared" si="60"/>
        <v>1.2137166507915531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15.5</v>
      </c>
      <c r="BD71" s="12">
        <f>IF('Données projet'!$A$88&gt;35,BD70+BC71-BL70,IF(A71&lt;'Données projet'!$A$88,$BA$205^A71,IF(A71='Données projet'!$A$88,'Données projet'!$B$88,BD70+BC71-BL70)))</f>
        <v>415.39999999999986</v>
      </c>
      <c r="BE71" s="13">
        <f>BD71*VLOOKUP('Données projet'!$B$11,Paramètres!$A$1:$I$89,3,0)*VLOOKUP('Données projet'!$B$11,Paramètres!$A$1:$I$89,5,0)</f>
        <v>194.40719999999996</v>
      </c>
      <c r="BF71" s="13">
        <f t="shared" si="91"/>
        <v>48.513018020179601</v>
      </c>
      <c r="BG71" s="20">
        <f t="shared" si="61"/>
        <v>423.08604638514606</v>
      </c>
      <c r="BH71" s="59">
        <f t="shared" si="62"/>
        <v>716.41937971847938</v>
      </c>
      <c r="BI71" s="59">
        <f ca="1">AVERAGE(OFFSET($BH$3,0,0,'Données projet'!$E$11+1,1))-AVERAGE(OFFSET($H$3,0,0,'Données projet'!$E$11+1,1))</f>
        <v>215.23235148064941</v>
      </c>
      <c r="BJ71" s="59">
        <f t="shared" si="92"/>
        <v>184.07239726900434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1.4768861354408536</v>
      </c>
      <c r="BQ71" s="21">
        <f>EXP(-LN(2)/25)*BQ70+(1-EXP(-LN(2)/25))/(LN(2)/25)*Calculateur!BL71*Calculateur!BN71*VLOOKUP('Données projet'!$B$11,Paramètres!$A$1:$I$89,3,0)*0.475*44/12</f>
        <v>2.739089788493358</v>
      </c>
      <c r="BR71" s="21">
        <f>EXP(-LN(2)/2)*BR70+(1-EXP(-LN(2)/2))/(LN(2)/2)*BL71*BO71*VLOOKUP('Données projet'!$B$11,Paramètres!$A$1:$I$89,3,0)*0.475*44/12</f>
        <v>1.8753388367263778E-5</v>
      </c>
      <c r="BS71" s="22">
        <f t="shared" si="63"/>
        <v>4.2159946773225787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</v>
      </c>
      <c r="BY71" s="12">
        <f>IF('Données projet'!$A$114&gt;35,BY70+BX71-CG70,IF(A71&lt;'Données projet'!$A$114,$BV$205^A71,IF(A71='Données projet'!$A$114,'Données projet'!$B$114,BY70+BX71-CG70)))</f>
        <v>249.00000000000017</v>
      </c>
      <c r="BZ71" s="13">
        <f>BY71*VLOOKUP('Données projet'!$B$12,Paramètres!$A$1:$I$89,3,0)*VLOOKUP('Données projet'!$B$12,Paramètres!$A$1:$I$89,5,0)</f>
        <v>268.02360000000022</v>
      </c>
      <c r="CA71" s="13">
        <f t="shared" si="93"/>
        <v>64.429648145853278</v>
      </c>
      <c r="CB71" s="20">
        <f t="shared" si="64"/>
        <v>579.02274052069481</v>
      </c>
      <c r="CC71" s="59">
        <f t="shared" si="65"/>
        <v>872.35607385402818</v>
      </c>
      <c r="CD71" s="59">
        <f ca="1">AVERAGE(OFFSET($CC$3,0,0,'Données projet'!$E$12+1,1))-AVERAGE(OFFSET($H$3,0,0,'Données projet'!$E$12+1,1))</f>
        <v>303.1504619632214</v>
      </c>
      <c r="CE71" s="59">
        <f t="shared" si="94"/>
        <v>188.09929616366503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1.2883928620550931</v>
      </c>
      <c r="CM71" s="21">
        <f>EXP(-LN(2)/2)*CM70+(1-EXP(-LN(2)/2))/(LN(2)/2)*CG71*CJ71*VLOOKUP('Données projet'!$B$12,Paramètres!$A$1:$I$89,3,0)*0.475*44/12</f>
        <v>1.4044169786241539E-5</v>
      </c>
      <c r="CN71" s="22">
        <f t="shared" si="66"/>
        <v>1.2884069062248793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4.0999999999999996</v>
      </c>
      <c r="CT71" s="12">
        <f>IF('Données projet'!$A$140&gt;35,CT70+CS71-DB70,IF(A71&lt;'Données projet'!$A$140,$CQ$205^A71,IF(A71='Données projet'!$A$140,'Données projet'!$B$140,CT70+CS71-DB70)))</f>
        <v>265.79999999999978</v>
      </c>
      <c r="CU71" s="17">
        <f>CT71*VLOOKUP('Données projet'!$B$13,Paramètres!$A$1:$I$89,3,0)*VLOOKUP('Données projet'!$B$13,Paramètres!$A$1:$I$89,5,0)</f>
        <v>178.29863999999986</v>
      </c>
      <c r="CV71" s="13">
        <f t="shared" si="95"/>
        <v>44.943455949194529</v>
      </c>
      <c r="CW71" s="20">
        <f t="shared" si="67"/>
        <v>388.81331711151353</v>
      </c>
      <c r="CX71" s="59">
        <f t="shared" si="68"/>
        <v>682.14665044484684</v>
      </c>
      <c r="CY71" s="59">
        <f ca="1">AVERAGE(OFFSET($CX$3,0,0,'Données projet'!$E$13+1,1))-AVERAGE(OFFSET($H$3,0,0,'Données projet'!$E$13+1,1))</f>
        <v>156.63226020379989</v>
      </c>
      <c r="CZ71" s="59">
        <f t="shared" si="96"/>
        <v>196.0481096619543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3.0230931420760938</v>
      </c>
      <c r="DH71" s="21">
        <f>EXP(-LN(2)/2)*DH70+(1-EXP(-LN(2)/2))/(LN(2)/2)*DB71*DE71*VLOOKUP('Données projet'!$B$13,Paramètres!$A$1:$I$89,3,0)*0.475*44/12</f>
        <v>1.7306272129300773E-5</v>
      </c>
      <c r="DI71" s="22">
        <f t="shared" si="69"/>
        <v>3.023110448348223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-8.5265128291212022E-14</v>
      </c>
      <c r="DP71" s="17">
        <f>DO71*VLOOKUP('Données projet'!$B$14,Paramètres!$A$1:$I$89,3,0)*VLOOKUP('Données projet'!$B$14,Paramètres!$A$1:$I$89,5,0)</f>
        <v>-7.7147888077888636E-14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225.28075317732998</v>
      </c>
      <c r="DU71" s="59">
        <f t="shared" si="98"/>
        <v>358.43407531256207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1.0570564230751365</v>
      </c>
      <c r="EB71" s="21">
        <f>EXP(-LN(2)/25)*EB70+(1-EXP(-LN(2)/25))/(LN(2)/25)*Calculateur!DW71*Calculateur!DY71*VLOOKUP('Données projet'!$B$14,Paramètres!$A$1:$I$89,3,0)*0.475*44/12</f>
        <v>2.8843496655517398</v>
      </c>
      <c r="EC71" s="21">
        <f>EXP(-LN(2)/2)*EC70+(1-EXP(-LN(2)/2))/(LN(2)/2)*DW71*DZ71*VLOOKUP('Données projet'!$B$14,Paramètres!$A$1:$I$89,3,0)*0.475*44/12</f>
        <v>8.4190771388426278E-6</v>
      </c>
      <c r="ED71" s="22">
        <f t="shared" si="72"/>
        <v>3.9414145077040152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13.4</v>
      </c>
      <c r="EJ71" s="12">
        <f>IF('Données projet'!$A$192&gt;35,EJ70+EI71-ER70,IF(A71&lt;'Données projet'!$A$192,$EG$205^A71,IF(A71='Données projet'!$A$192,'Données projet'!$B$192,EJ70+EI71-ER70)))</f>
        <v>587.1999999999997</v>
      </c>
      <c r="EK71" s="17">
        <f>EJ71*VLOOKUP('Données projet'!$B$15,Paramètres!$A$1:$I$89,3,0)*VLOOKUP('Données projet'!$B$15,Paramètres!$A$1:$I$89,5,0)</f>
        <v>328.24479999999983</v>
      </c>
      <c r="EL71" s="13">
        <f t="shared" si="99"/>
        <v>77.066296561336628</v>
      </c>
      <c r="EM71" s="20">
        <f t="shared" si="73"/>
        <v>705.91682651099427</v>
      </c>
      <c r="EN71" s="59">
        <f t="shared" si="74"/>
        <v>999.25015984432753</v>
      </c>
      <c r="EO71" s="59">
        <f ca="1">AVERAGE(OFFSET($EN$3,0,0,'Données projet'!$E$15+1,1))-AVERAGE(OFFSET($H$3,0,0,'Données projet'!$E$15+1,1))</f>
        <v>326.31232746914907</v>
      </c>
      <c r="EP71" s="59">
        <f t="shared" si="100"/>
        <v>330.17137761430297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2.1522281615477961</v>
      </c>
      <c r="EW71" s="21">
        <f>EXP(-LN(2)/25)*EW70+(1-EXP(-LN(2)/25))/(LN(2)/25)*Calculateur!ER71*Calculateur!ET71*VLOOKUP('Données projet'!$B$15,Paramètres!$A$1:$I$89,3,0)*0.475*44/12</f>
        <v>10.520882123164656</v>
      </c>
      <c r="EX71" s="21">
        <f>EXP(-LN(2)/2)*EX70+(1-EXP(-LN(2)/2))/(LN(2)/2)*ER71*EU71*VLOOKUP('Données projet'!$B$15,Paramètres!$A$1:$I$89,3,0)*0.475*44/12</f>
        <v>6.2030960789556964E-5</v>
      </c>
      <c r="EY71" s="22">
        <f t="shared" si="75"/>
        <v>12.673172315673241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7.8</v>
      </c>
      <c r="FE71" s="12">
        <f>IF('Données projet'!$A$218&gt;35,FE70+FD71-FM70,IF(A71&lt;'Données projet'!$A$218,$FB$205^A71,IF(A71='Données projet'!$A$218,'Données projet'!$B$218,FE70+FD71-FM70)))</f>
        <v>411.4</v>
      </c>
      <c r="FF71" s="17">
        <f>FE71*VLOOKUP('Données projet'!$B$16,Paramètres!$A$1:$I$89,3,0)*VLOOKUP('Données projet'!$B$16,Paramètres!$A$1:$I$89,5,0)</f>
        <v>256.71359999999999</v>
      </c>
      <c r="FG71" s="13">
        <f t="shared" si="101"/>
        <v>62.021332500424947</v>
      </c>
      <c r="FH71" s="20">
        <f t="shared" si="76"/>
        <v>555.13000743824</v>
      </c>
      <c r="FI71" s="59">
        <f t="shared" si="77"/>
        <v>848.46334077157326</v>
      </c>
      <c r="FJ71" s="59">
        <f ca="1">AVERAGE(OFFSET($FI$3,0,0,'Données projet'!$E$16+1,1))-AVERAGE(OFFSET($H$3,0,0,'Données projet'!$E$16+1,1))</f>
        <v>255.41017495879987</v>
      </c>
      <c r="FK71" s="59">
        <f t="shared" si="102"/>
        <v>297.50513563712764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3.9313427728906873</v>
      </c>
      <c r="FR71" s="21">
        <f>EXP(-LN(2)/25)*FR70+(1-EXP(-LN(2)/25))/(LN(2)/25)*Calculateur!FM71*Calculateur!FO71*VLOOKUP('Données projet'!$B$16,Paramètres!$A$1:$I$89,3,0)*0.475*44/12</f>
        <v>9.7178303675875242</v>
      </c>
      <c r="FS71" s="21">
        <f>EXP(-LN(2)/2)*FS70+(1-EXP(-LN(2)/2))/(LN(2)/2)*FM71*FP71*VLOOKUP('Données projet'!$B$16,Paramètres!$A$1:$I$89,3,0)*0.475*44/12</f>
        <v>4.6541578553985367E-5</v>
      </c>
      <c r="FT71" s="22">
        <f t="shared" si="78"/>
        <v>13.649219682056765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10.7</v>
      </c>
      <c r="FZ71" s="12">
        <f>IF('Données projet'!$A$244&gt;35,FZ70+FY71-GH70,IF(A71&lt;'Données projet'!$A$244,$FW$205^A71,IF(A71='Données projet'!$A$244,'Données projet'!$B$244,FZ70+FY71-GH70)))</f>
        <v>468.60000000000019</v>
      </c>
      <c r="GA71" s="17">
        <f>FZ71*VLOOKUP('Données projet'!$B$17,Paramètres!$A$1:$I$89,3,0)*VLOOKUP('Données projet'!$B$17,Paramètres!$A$1:$I$89,5,0)</f>
        <v>280.22280000000012</v>
      </c>
      <c r="GB71" s="13">
        <f t="shared" si="103"/>
        <v>67.01409074600636</v>
      </c>
      <c r="GC71" s="20">
        <f t="shared" si="79"/>
        <v>604.77091804929455</v>
      </c>
      <c r="GD71" s="59">
        <f t="shared" si="80"/>
        <v>898.10425138262781</v>
      </c>
      <c r="GE71" s="59">
        <f ca="1">AVERAGE(OFFSET($GD$3,0,0,'Données projet'!$E$17+1,1))-AVERAGE(OFFSET($H$3,0,0,'Données projet'!$E$17+1,1))</f>
        <v>259.30247982593914</v>
      </c>
      <c r="GF71" s="59">
        <f t="shared" si="104"/>
        <v>275.24740346220779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6.2878576778983328</v>
      </c>
      <c r="GN71" s="21">
        <f>EXP(-LN(2)/2)*GN70+(1-EXP(-LN(2)/2))/(LN(2)/2)*GH71*GK71*VLOOKUP('Données projet'!$B$17,Paramètres!$A$1:$I$89,3,0)*0.475*44/12</f>
        <v>5.4703655589799951E-5</v>
      </c>
      <c r="GO71" s="21">
        <f t="shared" si="81"/>
        <v>6.2879123815539231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4.0999999999999996</v>
      </c>
      <c r="GU71" s="12">
        <f>IF('Données projet'!$A$270&gt;35,GU70+GT71-HC70,IF(A71&lt;'Données projet'!$A$270,$GR$205^A71,IF(A71='Données projet'!$A$270,'Données projet'!$B$270,GU70+GT71-HC70)))</f>
        <v>265.79999999999978</v>
      </c>
      <c r="GV71" s="17">
        <f>GU71*VLOOKUP('Données projet'!$B$18,Paramètres!$A$1:$I$89,3,0)*VLOOKUP('Données projet'!$B$18,Paramètres!$A$1:$I$89,5,0)</f>
        <v>211.47047999999981</v>
      </c>
      <c r="GW71" s="13">
        <f t="shared" si="105"/>
        <v>52.256791959630746</v>
      </c>
      <c r="GX71" s="20">
        <f t="shared" si="82"/>
        <v>459.32499866302322</v>
      </c>
      <c r="GY71" s="59">
        <f t="shared" si="83"/>
        <v>752.65833199635654</v>
      </c>
      <c r="GZ71" s="59">
        <f ca="1">AVERAGE(OFFSET($GY$3,0,0,'Données projet'!$E$18+1,1))-AVERAGE(OFFSET($H$3,0,0,'Données projet'!$E$18+1,1))</f>
        <v>199.58763537752952</v>
      </c>
      <c r="HA71" s="59">
        <f t="shared" si="106"/>
        <v>242.62852778451929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0</v>
      </c>
      <c r="HH71" s="21">
        <f>EXP(-LN(2)/25)*HH70+(1-EXP(-LN(2)/25))/(LN(2)/25)*Calculateur!HC71*Calculateur!HE71*VLOOKUP('Données projet'!$B$18,Paramètres!$A$1:$I$89,3,0)*0.475*44/12</f>
        <v>3.5855290754855975</v>
      </c>
      <c r="HI71" s="21">
        <f>EXP(-LN(2)/2)*HI70+(1-EXP(-LN(2)/2))/(LN(2)/2)*HC71*HF71*VLOOKUP('Données projet'!$B$18,Paramètres!$A$1:$I$89,3,0)*0.475*44/12</f>
        <v>2.0526043688240471E-5</v>
      </c>
      <c r="HJ71" s="22">
        <f t="shared" si="84"/>
        <v>3.5855496015292858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256.00000000000017</v>
      </c>
      <c r="O72" s="13">
        <f>N72*VLOOKUP('Données projet'!$B$9,Paramètres!$A$1:$I$89,3,0)*VLOOKUP('Données projet'!$B$9,Paramètres!$A$1:$I$89,5,0)</f>
        <v>231.62880000000013</v>
      </c>
      <c r="P72" s="13">
        <f t="shared" si="87"/>
        <v>56.63472139815827</v>
      </c>
      <c r="Q72" s="20">
        <f t="shared" si="54"/>
        <v>502.0589664351258</v>
      </c>
      <c r="R72" s="59">
        <f t="shared" si="55"/>
        <v>795.39229976845911</v>
      </c>
      <c r="S72" s="59">
        <f ca="1">AVERAGE(OFFSET($R$3,0,0,'Données projet'!$E$9+1,1))-AVERAGE(OFFSET($H$3,0,0,'Données projet'!$E$9+1,1))</f>
        <v>237.22177246688199</v>
      </c>
      <c r="T72" s="59">
        <f t="shared" si="88"/>
        <v>149.27472147904302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1.0533822913961814</v>
      </c>
      <c r="AB72" s="21">
        <f>EXP(-LN(2)/2)*AB71+(1-EXP(-LN(2)/2))/(LN(2)/2)*V72*Y72*VLOOKUP('Données projet'!$B$9,Paramètres!$A$1:$I$89,3,0)*0.475*44/12</f>
        <v>8.3475682048583016E-6</v>
      </c>
      <c r="AC72" s="22">
        <f t="shared" si="57"/>
        <v>1.0533906389643863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256.00000000000017</v>
      </c>
      <c r="AJ72" s="13">
        <f>AI72*VLOOKUP('Données projet'!$B$10,Paramètres!$A$1:$I$89,3,0)*VLOOKUP('Données projet'!$B$10,Paramètres!$A$1:$I$89,5,0)</f>
        <v>259.58400000000017</v>
      </c>
      <c r="AK72" s="13">
        <f t="shared" si="89"/>
        <v>62.63369530482359</v>
      </c>
      <c r="AL72" s="20">
        <f t="shared" si="58"/>
        <v>561.19581932256801</v>
      </c>
      <c r="AM72" s="59">
        <f t="shared" si="59"/>
        <v>854.52915265590127</v>
      </c>
      <c r="AN72" s="59">
        <f ca="1">AVERAGE(OFFSET($AM$3,0,0,'Données projet'!$E$10+1,1))-AVERAGE(OFFSET($H$3,0,0,'Données projet'!$E$10+1,1))</f>
        <v>279.20364724206644</v>
      </c>
      <c r="AO72" s="59">
        <f t="shared" si="90"/>
        <v>173.99850582760712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1.1805146369095139</v>
      </c>
      <c r="AW72" s="21">
        <f>EXP(-LN(2)/2)*AW71+(1-EXP(-LN(2)/2))/(LN(2)/2)*AQ72*AT72*VLOOKUP('Données projet'!$B$10,Paramètres!$A$1:$I$89,3,0)*0.475*44/12</f>
        <v>9.3550333330308539E-6</v>
      </c>
      <c r="AX72" s="21">
        <f t="shared" si="60"/>
        <v>1.180523991942847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15.5</v>
      </c>
      <c r="BD72" s="12">
        <f>IF('Données projet'!$A$88&gt;35,BD71+BC72-BL71,IF(A72&lt;'Données projet'!$A$88,$BA$205^A72,IF(A72='Données projet'!$A$88,'Données projet'!$B$88,BD71+BC72-BL71)))</f>
        <v>430.89999999999986</v>
      </c>
      <c r="BE72" s="13">
        <f>BD72*VLOOKUP('Données projet'!$B$11,Paramètres!$A$1:$I$89,3,0)*VLOOKUP('Données projet'!$B$11,Paramètres!$A$1:$I$89,5,0)</f>
        <v>201.66119999999992</v>
      </c>
      <c r="BF72" s="13">
        <f t="shared" si="91"/>
        <v>50.109073265229782</v>
      </c>
      <c r="BG72" s="20">
        <f t="shared" si="61"/>
        <v>438.49989260360843</v>
      </c>
      <c r="BH72" s="59">
        <f t="shared" si="62"/>
        <v>731.83322593694174</v>
      </c>
      <c r="BI72" s="59">
        <f ca="1">AVERAGE(OFFSET($BH$3,0,0,'Données projet'!$E$11+1,1))-AVERAGE(OFFSET($H$3,0,0,'Données projet'!$E$11+1,1))</f>
        <v>215.23235148064941</v>
      </c>
      <c r="BJ72" s="59">
        <f t="shared" si="92"/>
        <v>184.07239726900434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1.4479252991364533</v>
      </c>
      <c r="BQ72" s="21">
        <f>EXP(-LN(2)/25)*BQ71+(1-EXP(-LN(2)/25))/(LN(2)/25)*Calculateur!BL72*Calculateur!BN72*VLOOKUP('Données projet'!$B$11,Paramètres!$A$1:$I$89,3,0)*0.475*44/12</f>
        <v>2.6641892341845357</v>
      </c>
      <c r="BR72" s="21">
        <f>EXP(-LN(2)/2)*BR71+(1-EXP(-LN(2)/2))/(LN(2)/2)*BL72*BO72*VLOOKUP('Données projet'!$B$11,Paramètres!$A$1:$I$89,3,0)*0.475*44/12</f>
        <v>1.3260648084717135E-5</v>
      </c>
      <c r="BS72" s="22">
        <f t="shared" si="63"/>
        <v>4.1121277939690737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</v>
      </c>
      <c r="BY72" s="12">
        <f>IF('Données projet'!$A$114&gt;35,BY71+BX72-CG71,IF(A72&lt;'Données projet'!$A$114,$BV$205^A72,IF(A72='Données projet'!$A$114,'Données projet'!$B$114,BY71+BX72-CG71)))</f>
        <v>256.00000000000017</v>
      </c>
      <c r="BZ72" s="13">
        <f>BY72*VLOOKUP('Données projet'!$B$12,Paramètres!$A$1:$I$89,3,0)*VLOOKUP('Données projet'!$B$12,Paramètres!$A$1:$I$89,5,0)</f>
        <v>275.55840000000018</v>
      </c>
      <c r="CA72" s="13">
        <f t="shared" si="93"/>
        <v>66.027499393879125</v>
      </c>
      <c r="CB72" s="20">
        <f t="shared" si="64"/>
        <v>594.92877477767308</v>
      </c>
      <c r="CC72" s="59">
        <f t="shared" si="65"/>
        <v>888.26210811100646</v>
      </c>
      <c r="CD72" s="59">
        <f ca="1">AVERAGE(OFFSET($CC$3,0,0,'Données projet'!$E$12+1,1))-AVERAGE(OFFSET($H$3,0,0,'Données projet'!$E$12+1,1))</f>
        <v>303.1504619632214</v>
      </c>
      <c r="CE72" s="59">
        <f t="shared" si="94"/>
        <v>188.09929616366503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1.2531616914885606</v>
      </c>
      <c r="CM72" s="21">
        <f>EXP(-LN(2)/2)*CM71+(1-EXP(-LN(2)/2))/(LN(2)/2)*CG72*CJ72*VLOOKUP('Données projet'!$B$12,Paramètres!$A$1:$I$89,3,0)*0.475*44/12</f>
        <v>9.9307276919866174E-6</v>
      </c>
      <c r="CN72" s="22">
        <f t="shared" si="66"/>
        <v>1.2531716222162526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4.0999999999999996</v>
      </c>
      <c r="CT72" s="12">
        <f>IF('Données projet'!$A$140&gt;35,CT71+CS72-DB71,IF(A72&lt;'Données projet'!$A$140,$CQ$205^A72,IF(A72='Données projet'!$A$140,'Données projet'!$B$140,CT71+CS72-DB71)))</f>
        <v>269.89999999999981</v>
      </c>
      <c r="CU72" s="17">
        <f>CT72*VLOOKUP('Données projet'!$B$13,Paramètres!$A$1:$I$89,3,0)*VLOOKUP('Données projet'!$B$13,Paramètres!$A$1:$I$89,5,0)</f>
        <v>181.04891999999987</v>
      </c>
      <c r="CV72" s="13">
        <f t="shared" si="95"/>
        <v>45.55547256641065</v>
      </c>
      <c r="CW72" s="20">
        <f t="shared" si="67"/>
        <v>394.669317053165</v>
      </c>
      <c r="CX72" s="59">
        <f t="shared" si="68"/>
        <v>688.00265038649832</v>
      </c>
      <c r="CY72" s="59">
        <f ca="1">AVERAGE(OFFSET($CX$3,0,0,'Données projet'!$E$13+1,1))-AVERAGE(OFFSET($H$3,0,0,'Données projet'!$E$13+1,1))</f>
        <v>156.63226020379989</v>
      </c>
      <c r="CZ72" s="59">
        <f t="shared" si="96"/>
        <v>196.0481096619543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2.940426501128464</v>
      </c>
      <c r="DH72" s="21">
        <f>EXP(-LN(2)/2)*DH71+(1-EXP(-LN(2)/2))/(LN(2)/2)*DB72*DE72*VLOOKUP('Données projet'!$B$13,Paramètres!$A$1:$I$89,3,0)*0.475*44/12</f>
        <v>1.2237382379688327E-5</v>
      </c>
      <c r="DI72" s="22">
        <f t="shared" si="69"/>
        <v>2.9404387385108439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-8.5265128291212022E-14</v>
      </c>
      <c r="DP72" s="17">
        <f>DO72*VLOOKUP('Données projet'!$B$14,Paramètres!$A$1:$I$89,3,0)*VLOOKUP('Données projet'!$B$14,Paramètres!$A$1:$I$89,5,0)</f>
        <v>-7.7147888077888636E-14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225.28075317732998</v>
      </c>
      <c r="DU72" s="59">
        <f t="shared" si="98"/>
        <v>358.43407531256207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1.0363281913593883</v>
      </c>
      <c r="EB72" s="21">
        <f>EXP(-LN(2)/25)*EB71+(1-EXP(-LN(2)/25))/(LN(2)/25)*Calculateur!DW72*Calculateur!DY72*VLOOKUP('Données projet'!$B$14,Paramètres!$A$1:$I$89,3,0)*0.475*44/12</f>
        <v>2.805476972265871</v>
      </c>
      <c r="EC72" s="21">
        <f>EXP(-LN(2)/2)*EC71+(1-EXP(-LN(2)/2))/(LN(2)/2)*DW72*DZ72*VLOOKUP('Données projet'!$B$14,Paramètres!$A$1:$I$89,3,0)*0.475*44/12</f>
        <v>5.9531865362082586E-6</v>
      </c>
      <c r="ED72" s="22">
        <f t="shared" si="72"/>
        <v>3.8418111168117952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13.4</v>
      </c>
      <c r="EJ72" s="12">
        <f>IF('Données projet'!$A$192&gt;35,EJ71+EI72-ER71,IF(A72&lt;'Données projet'!$A$192,$EG$205^A72,IF(A72='Données projet'!$A$192,'Données projet'!$B$192,EJ71+EI72-ER71)))</f>
        <v>600.59999999999968</v>
      </c>
      <c r="EK72" s="17">
        <f>EJ72*VLOOKUP('Données projet'!$B$15,Paramètres!$A$1:$I$89,3,0)*VLOOKUP('Données projet'!$B$15,Paramètres!$A$1:$I$89,5,0)</f>
        <v>335.73539999999986</v>
      </c>
      <c r="EL72" s="13">
        <f t="shared" si="99"/>
        <v>78.618206841401843</v>
      </c>
      <c r="EM72" s="20">
        <f t="shared" si="73"/>
        <v>721.66586524877459</v>
      </c>
      <c r="EN72" s="59">
        <f t="shared" si="74"/>
        <v>1014.999198582108</v>
      </c>
      <c r="EO72" s="59">
        <f ca="1">AVERAGE(OFFSET($EN$3,0,0,'Données projet'!$E$15+1,1))-AVERAGE(OFFSET($H$3,0,0,'Données projet'!$E$15+1,1))</f>
        <v>326.31232746914907</v>
      </c>
      <c r="EP72" s="59">
        <f t="shared" si="100"/>
        <v>330.17137761430297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2.1100242800294011</v>
      </c>
      <c r="EW72" s="21">
        <f>EXP(-LN(2)/25)*EW71+(1-EXP(-LN(2)/25))/(LN(2)/25)*Calculateur!ER72*Calculateur!ET72*VLOOKUP('Données projet'!$B$15,Paramètres!$A$1:$I$89,3,0)*0.475*44/12</f>
        <v>10.233188048237572</v>
      </c>
      <c r="EX72" s="21">
        <f>EXP(-LN(2)/2)*EX71+(1-EXP(-LN(2)/2))/(LN(2)/2)*ER72*EU72*VLOOKUP('Données projet'!$B$15,Paramètres!$A$1:$I$89,3,0)*0.475*44/12</f>
        <v>4.3862513017812565E-5</v>
      </c>
      <c r="EY72" s="22">
        <f t="shared" si="75"/>
        <v>12.343256190779991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7.8</v>
      </c>
      <c r="FE72" s="12">
        <f>IF('Données projet'!$A$218&gt;35,FE71+FD72-FM71,IF(A72&lt;'Données projet'!$A$218,$FB$205^A72,IF(A72='Données projet'!$A$218,'Données projet'!$B$218,FE71+FD72-FM71)))</f>
        <v>419.2</v>
      </c>
      <c r="FF72" s="17">
        <f>FE72*VLOOKUP('Données projet'!$B$16,Paramètres!$A$1:$I$89,3,0)*VLOOKUP('Données projet'!$B$16,Paramètres!$A$1:$I$89,5,0)</f>
        <v>261.58080000000001</v>
      </c>
      <c r="FG72" s="13">
        <f t="shared" si="101"/>
        <v>63.05922166723839</v>
      </c>
      <c r="FH72" s="20">
        <f t="shared" si="76"/>
        <v>565.4147044037735</v>
      </c>
      <c r="FI72" s="59">
        <f t="shared" si="77"/>
        <v>858.74803773710687</v>
      </c>
      <c r="FJ72" s="59">
        <f ca="1">AVERAGE(OFFSET($FI$3,0,0,'Données projet'!$E$16+1,1))-AVERAGE(OFFSET($H$3,0,0,'Données projet'!$E$16+1,1))</f>
        <v>255.41017495879987</v>
      </c>
      <c r="FK72" s="59">
        <f t="shared" si="102"/>
        <v>297.50513563712764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3.8542515389966212</v>
      </c>
      <c r="FR72" s="21">
        <f>EXP(-LN(2)/25)*FR71+(1-EXP(-LN(2)/25))/(LN(2)/25)*Calculateur!FM72*Calculateur!FO72*VLOOKUP('Données projet'!$B$16,Paramètres!$A$1:$I$89,3,0)*0.475*44/12</f>
        <v>9.452095785147355</v>
      </c>
      <c r="FS72" s="21">
        <f>EXP(-LN(2)/2)*FS71+(1-EXP(-LN(2)/2))/(LN(2)/2)*FM72*FP72*VLOOKUP('Données projet'!$B$16,Paramètres!$A$1:$I$89,3,0)*0.475*44/12</f>
        <v>3.2909865802649443E-5</v>
      </c>
      <c r="FT72" s="22">
        <f t="shared" si="78"/>
        <v>13.306380234009779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10.7</v>
      </c>
      <c r="FZ72" s="12">
        <f>IF('Données projet'!$A$244&gt;35,FZ71+FY72-GH71,IF(A72&lt;'Données projet'!$A$244,$FW$205^A72,IF(A72='Données projet'!$A$244,'Données projet'!$B$244,FZ71+FY72-GH71)))</f>
        <v>479.30000000000018</v>
      </c>
      <c r="GA72" s="17">
        <f>FZ72*VLOOKUP('Données projet'!$B$17,Paramètres!$A$1:$I$89,3,0)*VLOOKUP('Données projet'!$B$17,Paramètres!$A$1:$I$89,5,0)</f>
        <v>286.62140000000011</v>
      </c>
      <c r="GB72" s="13">
        <f t="shared" si="103"/>
        <v>68.364391929461689</v>
      </c>
      <c r="GC72" s="20">
        <f t="shared" si="79"/>
        <v>618.26692094381269</v>
      </c>
      <c r="GD72" s="59">
        <f t="shared" si="80"/>
        <v>911.60025427714595</v>
      </c>
      <c r="GE72" s="59">
        <f ca="1">AVERAGE(OFFSET($GD$3,0,0,'Données projet'!$E$17+1,1))-AVERAGE(OFFSET($H$3,0,0,'Données projet'!$E$17+1,1))</f>
        <v>259.30247982593914</v>
      </c>
      <c r="GF72" s="59">
        <f t="shared" si="104"/>
        <v>275.24740346220779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6.1159158790321388</v>
      </c>
      <c r="GN72" s="21">
        <f>EXP(-LN(2)/2)*GN71+(1-EXP(-LN(2)/2))/(LN(2)/2)*GH72*GK72*VLOOKUP('Données projet'!$B$17,Paramètres!$A$1:$I$89,3,0)*0.475*44/12</f>
        <v>3.868132582324093E-5</v>
      </c>
      <c r="GO72" s="21">
        <f t="shared" si="81"/>
        <v>6.1159545603579621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4.0999999999999996</v>
      </c>
      <c r="GU72" s="12">
        <f>IF('Données projet'!$A$270&gt;35,GU71+GT72-HC71,IF(A72&lt;'Données projet'!$A$270,$GR$205^A72,IF(A72='Données projet'!$A$270,'Données projet'!$B$270,GU71+GT72-HC71)))</f>
        <v>269.89999999999981</v>
      </c>
      <c r="GV72" s="17">
        <f>GU72*VLOOKUP('Données projet'!$B$18,Paramètres!$A$1:$I$89,3,0)*VLOOKUP('Données projet'!$B$18,Paramètres!$A$1:$I$89,5,0)</f>
        <v>214.73243999999988</v>
      </c>
      <c r="GW72" s="13">
        <f t="shared" si="105"/>
        <v>52.968397784466582</v>
      </c>
      <c r="GX72" s="20">
        <f t="shared" si="82"/>
        <v>466.24562580794571</v>
      </c>
      <c r="GY72" s="59">
        <f t="shared" si="83"/>
        <v>759.57895914127903</v>
      </c>
      <c r="GZ72" s="59">
        <f ca="1">AVERAGE(OFFSET($GY$3,0,0,'Données projet'!$E$18+1,1))-AVERAGE(OFFSET($H$3,0,0,'Données projet'!$E$18+1,1))</f>
        <v>199.58763537752952</v>
      </c>
      <c r="HA72" s="59">
        <f t="shared" si="106"/>
        <v>242.62852778451929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0</v>
      </c>
      <c r="HH72" s="21">
        <f>EXP(-LN(2)/25)*HH71+(1-EXP(-LN(2)/25))/(LN(2)/25)*Calculateur!HC72*Calculateur!HE72*VLOOKUP('Données projet'!$B$18,Paramètres!$A$1:$I$89,3,0)*0.475*44/12</f>
        <v>3.4874825943616647</v>
      </c>
      <c r="HI72" s="21">
        <f>EXP(-LN(2)/2)*HI71+(1-EXP(-LN(2)/2))/(LN(2)/2)*HC72*HF72*VLOOKUP('Données projet'!$B$18,Paramètres!$A$1:$I$89,3,0)*0.475*44/12</f>
        <v>1.451410468288617E-5</v>
      </c>
      <c r="HJ72" s="22">
        <f t="shared" si="84"/>
        <v>3.4874971084663478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263.00000000000017</v>
      </c>
      <c r="O73" s="13">
        <f>N73*VLOOKUP('Données projet'!$B$9,Paramètres!$A$1:$I$89,3,0)*VLOOKUP('Données projet'!$B$9,Paramètres!$A$1:$I$89,5,0)</f>
        <v>237.96240000000012</v>
      </c>
      <c r="P73" s="13">
        <f t="shared" si="87"/>
        <v>58.000913607663399</v>
      </c>
      <c r="Q73" s="20">
        <f t="shared" si="54"/>
        <v>515.46943786668055</v>
      </c>
      <c r="R73" s="59">
        <f t="shared" si="55"/>
        <v>808.80277120001392</v>
      </c>
      <c r="S73" s="59">
        <f ca="1">AVERAGE(OFFSET($R$3,0,0,'Données projet'!$E$9+1,1))-AVERAGE(OFFSET($H$3,0,0,'Données projet'!$E$9+1,1))</f>
        <v>237.22177246688199</v>
      </c>
      <c r="T73" s="59">
        <f t="shared" si="88"/>
        <v>149.27472147904302</v>
      </c>
      <c r="U73" s="15">
        <f>IF(ISNA(VLOOKUP(A73,'Données projet'!$A$35:$I$55,3,0)),0,VLOOKUP(A73,'Données projet'!$A$35:$I$55,3,0))</f>
        <v>5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1.0245774972429857</v>
      </c>
      <c r="AB73" s="21">
        <f>EXP(-LN(2)/2)*AB72+(1-EXP(-LN(2)/2))/(LN(2)/2)*V73*Y73*VLOOKUP('Données projet'!$B$9,Paramètres!$A$1:$I$89,3,0)*0.475*44/12</f>
        <v>5.9026220840725205E-6</v>
      </c>
      <c r="AC73" s="22">
        <f t="shared" si="57"/>
        <v>1.0245833998650697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263.00000000000017</v>
      </c>
      <c r="AJ73" s="13">
        <f>AI73*VLOOKUP('Données projet'!$B$10,Paramètres!$A$1:$I$89,3,0)*VLOOKUP('Données projet'!$B$10,Paramètres!$A$1:$I$89,5,0)</f>
        <v>266.68200000000019</v>
      </c>
      <c r="AK73" s="13">
        <f t="shared" si="89"/>
        <v>64.144600001897828</v>
      </c>
      <c r="AL73" s="20">
        <f t="shared" si="58"/>
        <v>576.18966166997234</v>
      </c>
      <c r="AM73" s="59">
        <f t="shared" si="59"/>
        <v>869.5229950033056</v>
      </c>
      <c r="AN73" s="59">
        <f ca="1">AVERAGE(OFFSET($AM$3,0,0,'Données projet'!$E$10+1,1))-AVERAGE(OFFSET($H$3,0,0,'Données projet'!$E$10+1,1))</f>
        <v>279.20364724206644</v>
      </c>
      <c r="AO73" s="59">
        <f t="shared" si="90"/>
        <v>173.99850582760712</v>
      </c>
      <c r="AP73" s="15">
        <f>IF(ISNA(VLOOKUP(A73,'Données projet'!$A$61:$I$81,3,0)),0,VLOOKUP(A73,'Données projet'!$A$61:$I$81,3,0))</f>
        <v>5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1.1482334020826566</v>
      </c>
      <c r="AW73" s="21">
        <f>EXP(-LN(2)/2)*AW72+(1-EXP(-LN(2)/2))/(LN(2)/2)*AQ73*AT73*VLOOKUP('Données projet'!$B$10,Paramètres!$A$1:$I$89,3,0)*0.475*44/12</f>
        <v>6.6150075080123064E-6</v>
      </c>
      <c r="AX73" s="21">
        <f t="shared" si="60"/>
        <v>1.1482400170901645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446.4</v>
      </c>
      <c r="BB73" s="12">
        <f>VLOOKUP(A73,'Données projet'!$A$87:$I$107,9,0)</f>
        <v>15.5</v>
      </c>
      <c r="BC73" s="12">
        <f t="array" ref="BC73">INDEX(BB:BB,MIN(IF(ISNUMBER(BB73:BB269),ROW(BB73:BB269),"")))</f>
        <v>15.5</v>
      </c>
      <c r="BD73" s="12">
        <f>IF('Données projet'!$A$88&gt;35,BD72+BC73-BL72,IF(A73&lt;'Données projet'!$A$88,$BA$205^A73,IF(A73='Données projet'!$A$88,'Données projet'!$B$88,BD72+BC73-BL72)))</f>
        <v>446.39999999999986</v>
      </c>
      <c r="BE73" s="13">
        <f>BD73*VLOOKUP('Données projet'!$B$11,Paramètres!$A$1:$I$89,3,0)*VLOOKUP('Données projet'!$B$11,Paramètres!$A$1:$I$89,5,0)</f>
        <v>208.91519999999994</v>
      </c>
      <c r="BF73" s="13">
        <f t="shared" si="91"/>
        <v>51.698458198123326</v>
      </c>
      <c r="BG73" s="20">
        <f t="shared" si="61"/>
        <v>453.90212136173136</v>
      </c>
      <c r="BH73" s="59">
        <f t="shared" si="62"/>
        <v>747.23545469506462</v>
      </c>
      <c r="BI73" s="59">
        <f ca="1">AVERAGE(OFFSET($BH$3,0,0,'Données projet'!$E$11+1,1))-AVERAGE(OFFSET($H$3,0,0,'Données projet'!$E$11+1,1))</f>
        <v>215.23235148064941</v>
      </c>
      <c r="BJ73" s="59">
        <f t="shared" si="92"/>
        <v>184.07239726900434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83.4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1.4195323671676163</v>
      </c>
      <c r="BQ73" s="21">
        <f>EXP(-LN(2)/25)*BQ72+(1-EXP(-LN(2)/25))/(LN(2)/25)*Calculateur!BL73*Calculateur!BN73*VLOOKUP('Données projet'!$B$11,Paramètres!$A$1:$I$89,3,0)*0.475*44/12</f>
        <v>2.5913368394721368</v>
      </c>
      <c r="BR73" s="21">
        <f>EXP(-LN(2)/2)*BR72+(1-EXP(-LN(2)/2))/(LN(2)/2)*BL73*BO73*VLOOKUP('Données projet'!$B$11,Paramètres!$A$1:$I$89,3,0)*0.475*44/12</f>
        <v>9.3766941836318892E-6</v>
      </c>
      <c r="BS73" s="22">
        <f t="shared" si="63"/>
        <v>4.0108785833339367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7</v>
      </c>
      <c r="BX73" s="12">
        <f t="array" ref="BX73">INDEX(BW:BW,MIN(IF(ISNUMBER(BW73:BW269),ROW(BW73:BW269),"")))</f>
        <v>7</v>
      </c>
      <c r="BY73" s="12">
        <f>IF('Données projet'!$A$114&gt;35,BY72+BX73-CG72,IF(A73&lt;'Données projet'!$A$114,$BV$205^A73,IF(A73='Données projet'!$A$114,'Données projet'!$B$114,BY72+BX73-CG72)))</f>
        <v>263.00000000000017</v>
      </c>
      <c r="BZ73" s="13">
        <f>BY73*VLOOKUP('Données projet'!$B$12,Paramètres!$A$1:$I$89,3,0)*VLOOKUP('Données projet'!$B$12,Paramètres!$A$1:$I$89,5,0)</f>
        <v>283.09320000000019</v>
      </c>
      <c r="CA73" s="13">
        <f t="shared" si="93"/>
        <v>67.620272397048737</v>
      </c>
      <c r="CB73" s="20">
        <f t="shared" si="64"/>
        <v>610.82596442486022</v>
      </c>
      <c r="CC73" s="59">
        <f t="shared" si="65"/>
        <v>904.15929775819359</v>
      </c>
      <c r="CD73" s="59">
        <f ca="1">AVERAGE(OFFSET($CC$3,0,0,'Données projet'!$E$12+1,1))-AVERAGE(OFFSET($H$3,0,0,'Données projet'!$E$12+1,1))</f>
        <v>303.1504619632214</v>
      </c>
      <c r="CE73" s="59">
        <f t="shared" si="94"/>
        <v>188.09929616366503</v>
      </c>
      <c r="CF73" s="15">
        <f>IF(ISNA(VLOOKUP(A73,'Données projet'!$A$113:$I$133,3,0)),0,VLOOKUP(A73,'Données projet'!$A$113:$I$133,3,0))</f>
        <v>5</v>
      </c>
      <c r="CG73" s="15">
        <f>IF(ISNA(VLOOKUP(A73,'Données projet'!$A$113:$I$133,4,0)),0,VLOOKUP(A73,'Données projet'!$A$113:$I$133,4,0))</f>
        <v>42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1.2188939191338968</v>
      </c>
      <c r="CM73" s="21">
        <f>EXP(-LN(2)/2)*CM72+(1-EXP(-LN(2)/2))/(LN(2)/2)*CG73*CJ73*VLOOKUP('Données projet'!$B$12,Paramètres!$A$1:$I$89,3,0)*0.475*44/12</f>
        <v>7.0220848931207693E-6</v>
      </c>
      <c r="CN73" s="22">
        <f t="shared" si="66"/>
        <v>1.2189009412187899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274</v>
      </c>
      <c r="CR73" s="12">
        <f>VLOOKUP(A73,'Données projet'!$A$139:$I$159,9,0)</f>
        <v>4.0999999999999996</v>
      </c>
      <c r="CS73" s="12">
        <f t="array" ref="CS73">INDEX(CR:CR,MIN(IF(ISNUMBER(CR73:CR269),ROW(CR73:CR269),"")))</f>
        <v>4.0999999999999996</v>
      </c>
      <c r="CT73" s="12">
        <f>IF('Données projet'!$A$140&gt;35,CT72+CS73-DB72,IF(A73&lt;'Données projet'!$A$140,$CQ$205^A73,IF(A73='Données projet'!$A$140,'Données projet'!$B$140,CT72+CS73-DB72)))</f>
        <v>273.99999999999983</v>
      </c>
      <c r="CU73" s="17">
        <f>CT73*VLOOKUP('Données projet'!$B$13,Paramètres!$A$1:$I$89,3,0)*VLOOKUP('Données projet'!$B$13,Paramètres!$A$1:$I$89,5,0)</f>
        <v>183.79919999999987</v>
      </c>
      <c r="CV73" s="13">
        <f t="shared" si="95"/>
        <v>46.166407921672452</v>
      </c>
      <c r="CW73" s="20">
        <f t="shared" si="67"/>
        <v>400.52343379691257</v>
      </c>
      <c r="CX73" s="59">
        <f t="shared" si="68"/>
        <v>693.85676713024588</v>
      </c>
      <c r="CY73" s="59">
        <f ca="1">AVERAGE(OFFSET($CX$3,0,0,'Données projet'!$E$13+1,1))-AVERAGE(OFFSET($H$3,0,0,'Données projet'!$E$13+1,1))</f>
        <v>156.63226020379989</v>
      </c>
      <c r="CZ73" s="59">
        <f t="shared" si="96"/>
        <v>196.0481096619543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21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2.8600203838247968</v>
      </c>
      <c r="DH73" s="21">
        <f>EXP(-LN(2)/2)*DH72+(1-EXP(-LN(2)/2))/(LN(2)/2)*DB73*DE73*VLOOKUP('Données projet'!$B$13,Paramètres!$A$1:$I$89,3,0)*0.475*44/12</f>
        <v>8.6531360646503864E-6</v>
      </c>
      <c r="DI73" s="22">
        <f t="shared" si="69"/>
        <v>2.8600290369608614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-8.5265128291212022E-14</v>
      </c>
      <c r="DP73" s="17">
        <f>DO73*VLOOKUP('Données projet'!$B$14,Paramètres!$A$1:$I$89,3,0)*VLOOKUP('Données projet'!$B$14,Paramètres!$A$1:$I$89,5,0)</f>
        <v>-7.7147888077888636E-14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225.28075317732998</v>
      </c>
      <c r="DU73" s="59">
        <f t="shared" si="98"/>
        <v>358.43407531256207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1.0160064276246128</v>
      </c>
      <c r="EB73" s="21">
        <f>EXP(-LN(2)/25)*EB72+(1-EXP(-LN(2)/25))/(LN(2)/25)*Calculateur!DW73*Calculateur!DY73*VLOOKUP('Données projet'!$B$14,Paramètres!$A$1:$I$89,3,0)*0.475*44/12</f>
        <v>2.7287610569256389</v>
      </c>
      <c r="EC73" s="21">
        <f>EXP(-LN(2)/2)*EC72+(1-EXP(-LN(2)/2))/(LN(2)/2)*DW73*DZ73*VLOOKUP('Données projet'!$B$14,Paramètres!$A$1:$I$89,3,0)*0.475*44/12</f>
        <v>4.2095385694213139E-6</v>
      </c>
      <c r="ED73" s="22">
        <f t="shared" si="72"/>
        <v>3.7447716940888212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614</v>
      </c>
      <c r="EH73" s="12">
        <f>VLOOKUP(A73,'Données projet'!$A$191:$I$211,9,0)</f>
        <v>13.4</v>
      </c>
      <c r="EI73" s="12">
        <f t="array" ref="EI73">INDEX(EH:EH,MIN(IF(ISNUMBER(EH73:EH269),ROW(EH73:EH269),"")))</f>
        <v>13.4</v>
      </c>
      <c r="EJ73" s="12">
        <f>IF('Données projet'!$A$192&gt;35,EJ72+EI73-ER72,IF(A73&lt;'Données projet'!$A$192,$EG$205^A73,IF(A73='Données projet'!$A$192,'Données projet'!$B$192,EJ72+EI73-ER72)))</f>
        <v>613.99999999999966</v>
      </c>
      <c r="EK73" s="17">
        <f>EJ73*VLOOKUP('Données projet'!$B$15,Paramètres!$A$1:$I$89,3,0)*VLOOKUP('Données projet'!$B$15,Paramètres!$A$1:$I$89,5,0)</f>
        <v>343.22599999999983</v>
      </c>
      <c r="EL73" s="13">
        <f t="shared" si="99"/>
        <v>80.166091681676377</v>
      </c>
      <c r="EM73" s="20">
        <f t="shared" si="73"/>
        <v>737.40789301225266</v>
      </c>
      <c r="EN73" s="59">
        <f t="shared" si="74"/>
        <v>1030.741226345586</v>
      </c>
      <c r="EO73" s="59">
        <f ca="1">AVERAGE(OFFSET($EN$3,0,0,'Données projet'!$E$15+1,1))-AVERAGE(OFFSET($H$3,0,0,'Données projet'!$E$15+1,1))</f>
        <v>326.31232746914907</v>
      </c>
      <c r="EP73" s="59">
        <f t="shared" si="100"/>
        <v>330.17137761430297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67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2.068647990885756</v>
      </c>
      <c r="EW73" s="21">
        <f>EXP(-LN(2)/25)*EW72+(1-EXP(-LN(2)/25))/(LN(2)/25)*Calculateur!ER73*Calculateur!ET73*VLOOKUP('Données projet'!$B$15,Paramètres!$A$1:$I$89,3,0)*0.475*44/12</f>
        <v>9.9533609829185448</v>
      </c>
      <c r="EX73" s="21">
        <f>EXP(-LN(2)/2)*EX72+(1-EXP(-LN(2)/2))/(LN(2)/2)*ER73*EU73*VLOOKUP('Données projet'!$B$15,Paramètres!$A$1:$I$89,3,0)*0.475*44/12</f>
        <v>3.1015480394778482E-5</v>
      </c>
      <c r="EY73" s="22">
        <f t="shared" si="75"/>
        <v>12.022039989284696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427</v>
      </c>
      <c r="FC73" s="12">
        <f>VLOOKUP(A73,'Données projet'!$A$217:$I$237,9,0)</f>
        <v>7.8</v>
      </c>
      <c r="FD73" s="12">
        <f t="array" ref="FD73">INDEX(FC:FC,MIN(IF(ISNUMBER(FC73:FC269),ROW(FC73:FC269),"")))</f>
        <v>7.8</v>
      </c>
      <c r="FE73" s="12">
        <f>IF('Données projet'!$A$218&gt;35,FE72+FD73-FM72,IF(A73&lt;'Données projet'!$A$218,$FB$205^A73,IF(A73='Données projet'!$A$218,'Données projet'!$B$218,FE72+FD73-FM72)))</f>
        <v>427</v>
      </c>
      <c r="FF73" s="17">
        <f>FE73*VLOOKUP('Données projet'!$B$16,Paramètres!$A$1:$I$89,3,0)*VLOOKUP('Données projet'!$B$16,Paramètres!$A$1:$I$89,5,0)</f>
        <v>266.44799999999998</v>
      </c>
      <c r="FG73" s="13">
        <f t="shared" si="101"/>
        <v>64.094865228054687</v>
      </c>
      <c r="FH73" s="20">
        <f t="shared" si="76"/>
        <v>575.69549027219523</v>
      </c>
      <c r="FI73" s="59">
        <f t="shared" si="77"/>
        <v>869.02882360552849</v>
      </c>
      <c r="FJ73" s="59">
        <f ca="1">AVERAGE(OFFSET($FI$3,0,0,'Données projet'!$E$16+1,1))-AVERAGE(OFFSET($H$3,0,0,'Données projet'!$E$16+1,1))</f>
        <v>255.41017495879987</v>
      </c>
      <c r="FK73" s="59">
        <f t="shared" si="102"/>
        <v>297.50513563712764</v>
      </c>
      <c r="FL73" s="15">
        <f>IF(ISNA(VLOOKUP(A73,'Données projet'!$A$217:$I$237,3,0)),0,VLOOKUP(A73,'Données projet'!$A$217:$I$237,3,0))</f>
        <v>6</v>
      </c>
      <c r="FM73" s="15">
        <f>IF(ISNA(VLOOKUP(A73,'Données projet'!$A$217:$I$237,4,0)),0,VLOOKUP(A73,'Données projet'!$A$217:$I$237,4,0))</f>
        <v>45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3.778672017178208</v>
      </c>
      <c r="FR73" s="21">
        <f>EXP(-LN(2)/25)*FR72+(1-EXP(-LN(2)/25))/(LN(2)/25)*Calculateur!FM73*Calculateur!FO73*VLOOKUP('Données projet'!$B$16,Paramètres!$A$1:$I$89,3,0)*0.475*44/12</f>
        <v>9.1936277288383863</v>
      </c>
      <c r="FS73" s="21">
        <f>EXP(-LN(2)/2)*FS72+(1-EXP(-LN(2)/2))/(LN(2)/2)*FM73*FP73*VLOOKUP('Données projet'!$B$16,Paramètres!$A$1:$I$89,3,0)*0.475*44/12</f>
        <v>2.3270789276992683E-5</v>
      </c>
      <c r="FT73" s="22">
        <f t="shared" si="78"/>
        <v>12.972323016805872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490</v>
      </c>
      <c r="FX73" s="12">
        <f>VLOOKUP(A73,'Données projet'!$A$243:$I$263,9,0)</f>
        <v>10.7</v>
      </c>
      <c r="FY73" s="12">
        <f t="array" ref="FY73">INDEX(FX:FX,MIN(IF(ISNUMBER(FX73:FX269),ROW(FX73:FX269),"")))</f>
        <v>10.7</v>
      </c>
      <c r="FZ73" s="12">
        <f>IF('Données projet'!$A$244&gt;35,FZ72+FY73-GH72,IF(A73&lt;'Données projet'!$A$244,$FW$205^A73,IF(A73='Données projet'!$A$244,'Données projet'!$B$244,FZ72+FY73-GH72)))</f>
        <v>490.00000000000017</v>
      </c>
      <c r="GA73" s="17">
        <f>FZ73*VLOOKUP('Données projet'!$B$17,Paramètres!$A$1:$I$89,3,0)*VLOOKUP('Données projet'!$B$17,Paramètres!$A$1:$I$89,5,0)</f>
        <v>293.02000000000015</v>
      </c>
      <c r="GB73" s="13">
        <f t="shared" si="103"/>
        <v>69.71118854917674</v>
      </c>
      <c r="GC73" s="20">
        <f t="shared" si="79"/>
        <v>631.75682005648298</v>
      </c>
      <c r="GD73" s="59">
        <f t="shared" si="80"/>
        <v>925.09015338981635</v>
      </c>
      <c r="GE73" s="59">
        <f ca="1">AVERAGE(OFFSET($GD$3,0,0,'Données projet'!$E$17+1,1))-AVERAGE(OFFSET($H$3,0,0,'Données projet'!$E$17+1,1))</f>
        <v>259.30247982593914</v>
      </c>
      <c r="GF73" s="59">
        <f t="shared" si="104"/>
        <v>275.24740346220779</v>
      </c>
      <c r="GG73" s="15">
        <f>IF(ISNA(VLOOKUP(A73,'Données projet'!$A$243:$I$263,3,0)),0,VLOOKUP(A73,'Données projet'!$A$243:$I$263,3,0))</f>
        <v>6</v>
      </c>
      <c r="GH73" s="15">
        <f>IF(ISNA(VLOOKUP(A73,'Données projet'!$A$243:$I$263,4,0)),0,VLOOKUP(A73,'Données projet'!$A$243:$I$263,4,0))</f>
        <v>50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5.9486758376979667</v>
      </c>
      <c r="GN73" s="21">
        <f>EXP(-LN(2)/2)*GN72+(1-EXP(-LN(2)/2))/(LN(2)/2)*GH73*GK73*VLOOKUP('Données projet'!$B$17,Paramètres!$A$1:$I$89,3,0)*0.475*44/12</f>
        <v>2.7351827794899975E-5</v>
      </c>
      <c r="GO73" s="21">
        <f t="shared" si="81"/>
        <v>5.9487031895257614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274</v>
      </c>
      <c r="GS73" s="12">
        <f>VLOOKUP(A73,'Données projet'!$A$269:$I$289,9,0)</f>
        <v>4.0999999999999996</v>
      </c>
      <c r="GT73" s="12">
        <f t="array" ref="GT73">INDEX(GS:GS,MIN(IF(ISNUMBER(GS73:GS269),ROW(GS73:GS269),"")))</f>
        <v>4.0999999999999996</v>
      </c>
      <c r="GU73" s="12">
        <f>IF('Données projet'!$A$270&gt;35,GU72+GT73-HC72,IF(A73&lt;'Données projet'!$A$270,$GR$205^A73,IF(A73='Données projet'!$A$270,'Données projet'!$B$270,GU72+GT73-HC72)))</f>
        <v>273.99999999999983</v>
      </c>
      <c r="GV73" s="17">
        <f>GU73*VLOOKUP('Données projet'!$B$18,Paramètres!$A$1:$I$89,3,0)*VLOOKUP('Données projet'!$B$18,Paramètres!$A$1:$I$89,5,0)</f>
        <v>217.9943999999999</v>
      </c>
      <c r="GW73" s="13">
        <f t="shared" si="105"/>
        <v>53.678746401110374</v>
      </c>
      <c r="GX73" s="20">
        <f t="shared" si="82"/>
        <v>473.16406331526701</v>
      </c>
      <c r="GY73" s="59">
        <f t="shared" si="83"/>
        <v>766.49739664860033</v>
      </c>
      <c r="GZ73" s="59">
        <f ca="1">AVERAGE(OFFSET($GY$3,0,0,'Données projet'!$E$18+1,1))-AVERAGE(OFFSET($H$3,0,0,'Données projet'!$E$18+1,1))</f>
        <v>199.58763537752952</v>
      </c>
      <c r="HA73" s="59">
        <f t="shared" si="106"/>
        <v>242.62852778451929</v>
      </c>
      <c r="HB73" s="15">
        <f>IF(ISNA(VLOOKUP(A73,'Données projet'!$A$269:$I$289,3,0)),0,VLOOKUP(A73,'Données projet'!$A$269:$I$289,3,0))</f>
        <v>6</v>
      </c>
      <c r="HC73" s="15">
        <f>IF(ISNA(VLOOKUP(A73,'Données projet'!$A$269:$I$289,4,0)),0,VLOOKUP(A73,'Données projet'!$A$269:$I$289,4,0))</f>
        <v>21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0</v>
      </c>
      <c r="HH73" s="21">
        <f>EXP(-LN(2)/25)*HH72+(1-EXP(-LN(2)/25))/(LN(2)/25)*Calculateur!HC73*Calculateur!HE73*VLOOKUP('Données projet'!$B$18,Paramètres!$A$1:$I$89,3,0)*0.475*44/12</f>
        <v>3.392117199420106</v>
      </c>
      <c r="HI73" s="21">
        <f>EXP(-LN(2)/2)*HI72+(1-EXP(-LN(2)/2))/(LN(2)/2)*HC73*HF73*VLOOKUP('Données projet'!$B$18,Paramètres!$A$1:$I$89,3,0)*0.475*44/12</f>
        <v>1.0263021844120235E-5</v>
      </c>
      <c r="HJ73" s="22">
        <f t="shared" si="84"/>
        <v>3.39212746244195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6.1</v>
      </c>
      <c r="N74" s="13">
        <f>IF('Données projet'!$A$36&gt;35,N73+M74-V73,IF(A74&lt;'Données projet'!$A$36,$K$205^A74,IF(A74='Données projet'!$A$36,'Données projet'!$B$36,N73+M74-V73)))</f>
        <v>227.10000000000019</v>
      </c>
      <c r="O74" s="13">
        <f>N74*VLOOKUP('Données projet'!$B$9,Paramètres!$A$1:$I$89,3,0)*VLOOKUP('Données projet'!$B$9,Paramètres!$A$1:$I$89,5,0)</f>
        <v>205.48008000000016</v>
      </c>
      <c r="P74" s="13">
        <f t="shared" si="87"/>
        <v>50.94662215818515</v>
      </c>
      <c r="Q74" s="20">
        <f t="shared" si="54"/>
        <v>446.6098395921727</v>
      </c>
      <c r="R74" s="59">
        <f t="shared" si="55"/>
        <v>739.94317292550602</v>
      </c>
      <c r="S74" s="59">
        <f ca="1">AVERAGE(OFFSET($R$3,0,0,'Données projet'!$E$9+1,1))-AVERAGE(OFFSET($H$3,0,0,'Données projet'!$E$9+1,1))</f>
        <v>237.22177246688199</v>
      </c>
      <c r="T74" s="59">
        <f t="shared" si="88"/>
        <v>149.27472147904302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0.99656037170068745</v>
      </c>
      <c r="AB74" s="21">
        <f>EXP(-LN(2)/2)*AB73+(1-EXP(-LN(2)/2))/(LN(2)/2)*V74*Y74*VLOOKUP('Données projet'!$B$9,Paramètres!$A$1:$I$89,3,0)*0.475*44/12</f>
        <v>4.1737841024291508E-6</v>
      </c>
      <c r="AC74" s="22">
        <f t="shared" si="57"/>
        <v>0.9965645454847899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6.1</v>
      </c>
      <c r="AI74" s="13">
        <f>IF('Données projet'!$A$62&gt;35,AI73+AH74-AQ73,IF(A74&lt;'Données projet'!$A$62,$AF$205^A74,IF(A74='Données projet'!$A$62,'Données projet'!$B$62,AI73+AH74-AQ73)))</f>
        <v>227.10000000000019</v>
      </c>
      <c r="AJ74" s="13">
        <f>AI74*VLOOKUP('Données projet'!$B$10,Paramètres!$A$1:$I$89,3,0)*VLOOKUP('Données projet'!$B$10,Paramètres!$A$1:$I$89,5,0)</f>
        <v>230.27940000000021</v>
      </c>
      <c r="AK74" s="13">
        <f t="shared" si="89"/>
        <v>56.34309007423694</v>
      </c>
      <c r="AL74" s="20">
        <f t="shared" si="58"/>
        <v>499.20083687929633</v>
      </c>
      <c r="AM74" s="59">
        <f t="shared" si="59"/>
        <v>792.53417021262965</v>
      </c>
      <c r="AN74" s="59">
        <f ca="1">AVERAGE(OFFSET($AM$3,0,0,'Données projet'!$E$10+1,1))-AVERAGE(OFFSET($H$3,0,0,'Données projet'!$E$10+1,1))</f>
        <v>279.20364724206644</v>
      </c>
      <c r="AO74" s="59">
        <f t="shared" si="90"/>
        <v>173.99850582760712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1.1168348993197361</v>
      </c>
      <c r="AW74" s="21">
        <f>EXP(-LN(2)/2)*AW73+(1-EXP(-LN(2)/2))/(LN(2)/2)*AQ74*AT74*VLOOKUP('Données projet'!$B$10,Paramètres!$A$1:$I$89,3,0)*0.475*44/12</f>
        <v>4.677516666515427E-6</v>
      </c>
      <c r="AX74" s="21">
        <f t="shared" si="60"/>
        <v>1.1168395768364026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17</v>
      </c>
      <c r="BD74" s="12">
        <f>IF('Données projet'!$A$88&gt;35,BD73+BC74-BL73,IF(A74&lt;'Données projet'!$A$88,$BA$205^A74,IF(A74='Données projet'!$A$88,'Données projet'!$B$88,BD73+BC74-BL73)))</f>
        <v>379.99999999999989</v>
      </c>
      <c r="BE74" s="13">
        <f>BD74*VLOOKUP('Données projet'!$B$11,Paramètres!$A$1:$I$89,3,0)*VLOOKUP('Données projet'!$B$11,Paramètres!$A$1:$I$89,5,0)</f>
        <v>177.83999999999995</v>
      </c>
      <c r="BF74" s="13">
        <f t="shared" si="91"/>
        <v>44.841288830609102</v>
      </c>
      <c r="BG74" s="20">
        <f t="shared" si="61"/>
        <v>387.83657804664409</v>
      </c>
      <c r="BH74" s="59">
        <f t="shared" si="62"/>
        <v>681.16991137997741</v>
      </c>
      <c r="BI74" s="59">
        <f ca="1">AVERAGE(OFFSET($BH$3,0,0,'Données projet'!$E$11+1,1))-AVERAGE(OFFSET($H$3,0,0,'Données projet'!$E$11+1,1))</f>
        <v>215.23235148064941</v>
      </c>
      <c r="BJ74" s="59">
        <f t="shared" si="92"/>
        <v>184.07239726900434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1.3916962032767097</v>
      </c>
      <c r="BQ74" s="21">
        <f>EXP(-LN(2)/25)*BQ73+(1-EXP(-LN(2)/25))/(LN(2)/25)*Calculateur!BL74*Calculateur!BN74*VLOOKUP('Données projet'!$B$11,Paramètres!$A$1:$I$89,3,0)*0.475*44/12</f>
        <v>2.5204765973242895</v>
      </c>
      <c r="BR74" s="21">
        <f>EXP(-LN(2)/2)*BR73+(1-EXP(-LN(2)/2))/(LN(2)/2)*BL74*BO74*VLOOKUP('Données projet'!$B$11,Paramètres!$A$1:$I$89,3,0)*0.475*44/12</f>
        <v>6.6303240423585673E-6</v>
      </c>
      <c r="BS74" s="22">
        <f t="shared" si="63"/>
        <v>3.9121794309250415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6.1</v>
      </c>
      <c r="BY74" s="12">
        <f>IF('Données projet'!$A$114&gt;35,BY73+BX74-CG73,IF(A74&lt;'Données projet'!$A$114,$BV$205^A74,IF(A74='Données projet'!$A$114,'Données projet'!$B$114,BY73+BX74-CG73)))</f>
        <v>227.10000000000019</v>
      </c>
      <c r="BZ74" s="13">
        <f>BY74*VLOOKUP('Données projet'!$B$12,Paramètres!$A$1:$I$89,3,0)*VLOOKUP('Données projet'!$B$12,Paramètres!$A$1:$I$89,5,0)</f>
        <v>244.45044000000021</v>
      </c>
      <c r="CA74" s="13">
        <f t="shared" si="93"/>
        <v>59.396037989146883</v>
      </c>
      <c r="CB74" s="20">
        <f t="shared" si="64"/>
        <v>529.19928249776444</v>
      </c>
      <c r="CC74" s="59">
        <f t="shared" si="65"/>
        <v>822.5326158310977</v>
      </c>
      <c r="CD74" s="59">
        <f ca="1">AVERAGE(OFFSET($CC$3,0,0,'Données projet'!$E$12+1,1))-AVERAGE(OFFSET($H$3,0,0,'Données projet'!$E$12+1,1))</f>
        <v>303.1504619632214</v>
      </c>
      <c r="CE74" s="59">
        <f t="shared" si="94"/>
        <v>188.09929616366503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1.185563200816335</v>
      </c>
      <c r="CM74" s="21">
        <f>EXP(-LN(2)/2)*CM73+(1-EXP(-LN(2)/2))/(LN(2)/2)*CG74*CJ74*VLOOKUP('Données projet'!$B$12,Paramètres!$A$1:$I$89,3,0)*0.475*44/12</f>
        <v>4.9653638459933087E-6</v>
      </c>
      <c r="CN74" s="22">
        <f t="shared" si="66"/>
        <v>1.1855681661801811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3.1</v>
      </c>
      <c r="CT74" s="12">
        <f>IF('Données projet'!$A$140&gt;35,CT73+CS74-DB73,IF(A74&lt;'Données projet'!$A$140,$CQ$205^A74,IF(A74='Données projet'!$A$140,'Données projet'!$B$140,CT73+CS74-DB73)))</f>
        <v>256.09999999999985</v>
      </c>
      <c r="CU74" s="17">
        <f>CT74*VLOOKUP('Données projet'!$B$13,Paramètres!$A$1:$I$89,3,0)*VLOOKUP('Données projet'!$B$13,Paramètres!$A$1:$I$89,5,0)</f>
        <v>171.79187999999991</v>
      </c>
      <c r="CV74" s="13">
        <f t="shared" si="95"/>
        <v>43.491099864751611</v>
      </c>
      <c r="CW74" s="20">
        <f t="shared" si="67"/>
        <v>374.9511899311089</v>
      </c>
      <c r="CX74" s="59">
        <f t="shared" si="68"/>
        <v>668.28452326444221</v>
      </c>
      <c r="CY74" s="59">
        <f ca="1">AVERAGE(OFFSET($CX$3,0,0,'Données projet'!$E$13+1,1))-AVERAGE(OFFSET($H$3,0,0,'Données projet'!$E$13+1,1))</f>
        <v>156.63226020379989</v>
      </c>
      <c r="CZ74" s="59">
        <f t="shared" si="96"/>
        <v>196.0481096619543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2.7818129760271724</v>
      </c>
      <c r="DH74" s="21">
        <f>EXP(-LN(2)/2)*DH73+(1-EXP(-LN(2)/2))/(LN(2)/2)*DB74*DE74*VLOOKUP('Données projet'!$B$13,Paramètres!$A$1:$I$89,3,0)*0.475*44/12</f>
        <v>6.1186911898441637E-6</v>
      </c>
      <c r="DI74" s="22">
        <f t="shared" si="69"/>
        <v>2.7818190947183621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-8.5265128291212022E-14</v>
      </c>
      <c r="DP74" s="17">
        <f>DO74*VLOOKUP('Données projet'!$B$14,Paramètres!$A$1:$I$89,3,0)*VLOOKUP('Données projet'!$B$14,Paramètres!$A$1:$I$89,5,0)</f>
        <v>-7.7147888077888636E-14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225.28075317732998</v>
      </c>
      <c r="DU74" s="59">
        <f t="shared" si="98"/>
        <v>358.43407531256207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0.99608316128162444</v>
      </c>
      <c r="EB74" s="21">
        <f>EXP(-LN(2)/25)*EB73+(1-EXP(-LN(2)/25))/(LN(2)/25)*Calculateur!DW74*Calculateur!DY74*VLOOKUP('Données projet'!$B$14,Paramètres!$A$1:$I$89,3,0)*0.475*44/12</f>
        <v>2.6541429423246998</v>
      </c>
      <c r="EC74" s="21">
        <f>EXP(-LN(2)/2)*EC73+(1-EXP(-LN(2)/2))/(LN(2)/2)*DW74*DZ74*VLOOKUP('Données projet'!$B$14,Paramètres!$A$1:$I$89,3,0)*0.475*44/12</f>
        <v>2.9765932681041293E-6</v>
      </c>
      <c r="ED74" s="22">
        <f t="shared" si="72"/>
        <v>3.6502290801995927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10.4</v>
      </c>
      <c r="EJ74" s="12">
        <f>IF('Données projet'!$A$192&gt;35,EJ73+EI74-ER73,IF(A74&lt;'Données projet'!$A$192,$EG$205^A74,IF(A74='Données projet'!$A$192,'Données projet'!$B$192,EJ73+EI74-ER73)))</f>
        <v>557.39999999999964</v>
      </c>
      <c r="EK74" s="17">
        <f>EJ74*VLOOKUP('Données projet'!$B$15,Paramètres!$A$1:$I$89,3,0)*VLOOKUP('Données projet'!$B$15,Paramètres!$A$1:$I$89,5,0)</f>
        <v>311.58659999999981</v>
      </c>
      <c r="EL74" s="13">
        <f t="shared" si="99"/>
        <v>73.60007688942116</v>
      </c>
      <c r="EM74" s="20">
        <f t="shared" si="73"/>
        <v>670.86679558240803</v>
      </c>
      <c r="EN74" s="59">
        <f t="shared" si="74"/>
        <v>964.20012891574129</v>
      </c>
      <c r="EO74" s="59">
        <f ca="1">AVERAGE(OFFSET($EN$3,0,0,'Données projet'!$E$15+1,1))-AVERAGE(OFFSET($H$3,0,0,'Données projet'!$E$15+1,1))</f>
        <v>326.31232746914907</v>
      </c>
      <c r="EP74" s="59">
        <f t="shared" si="100"/>
        <v>330.17137761430297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2.0280830655351734</v>
      </c>
      <c r="EW74" s="21">
        <f>EXP(-LN(2)/25)*EW73+(1-EXP(-LN(2)/25))/(LN(2)/25)*Calculateur!ER74*Calculateur!ET74*VLOOKUP('Données projet'!$B$15,Paramètres!$A$1:$I$89,3,0)*0.475*44/12</f>
        <v>9.6811858034161311</v>
      </c>
      <c r="EX74" s="21">
        <f>EXP(-LN(2)/2)*EX73+(1-EXP(-LN(2)/2))/(LN(2)/2)*ER74*EU74*VLOOKUP('Données projet'!$B$15,Paramètres!$A$1:$I$89,3,0)*0.475*44/12</f>
        <v>2.1931256508906283E-5</v>
      </c>
      <c r="EY74" s="22">
        <f t="shared" si="75"/>
        <v>11.709290800207814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6</v>
      </c>
      <c r="FE74" s="12">
        <f>IF('Données projet'!$A$218&gt;35,FE73+FD74-FM73,IF(A74&lt;'Données projet'!$A$218,$FB$205^A74,IF(A74='Données projet'!$A$218,'Données projet'!$B$218,FE73+FD74-FM73)))</f>
        <v>388</v>
      </c>
      <c r="FF74" s="17">
        <f>FE74*VLOOKUP('Données projet'!$B$16,Paramètres!$A$1:$I$89,3,0)*VLOOKUP('Données projet'!$B$16,Paramètres!$A$1:$I$89,5,0)</f>
        <v>242.11199999999999</v>
      </c>
      <c r="FG74" s="13">
        <f t="shared" si="101"/>
        <v>58.893705600066006</v>
      </c>
      <c r="FH74" s="20">
        <f t="shared" si="76"/>
        <v>524.25160392011492</v>
      </c>
      <c r="FI74" s="59">
        <f t="shared" si="77"/>
        <v>817.58493725344829</v>
      </c>
      <c r="FJ74" s="59">
        <f ca="1">AVERAGE(OFFSET($FI$3,0,0,'Données projet'!$E$16+1,1))-AVERAGE(OFFSET($H$3,0,0,'Données projet'!$E$16+1,1))</f>
        <v>255.41017495879987</v>
      </c>
      <c r="FK74" s="59">
        <f t="shared" si="102"/>
        <v>297.50513563712764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3.7045745636836975</v>
      </c>
      <c r="FR74" s="21">
        <f>EXP(-LN(2)/25)*FR73+(1-EXP(-LN(2)/25))/(LN(2)/25)*Calculateur!FM74*Calculateur!FO74*VLOOKUP('Données projet'!$B$16,Paramètres!$A$1:$I$89,3,0)*0.475*44/12</f>
        <v>8.9422274951214309</v>
      </c>
      <c r="FS74" s="21">
        <f>EXP(-LN(2)/2)*FS73+(1-EXP(-LN(2)/2))/(LN(2)/2)*FM74*FP74*VLOOKUP('Données projet'!$B$16,Paramètres!$A$1:$I$89,3,0)*0.475*44/12</f>
        <v>1.6454932901324722E-5</v>
      </c>
      <c r="FT74" s="22">
        <f t="shared" si="78"/>
        <v>12.64681851373803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8.1999999999999993</v>
      </c>
      <c r="FZ74" s="12">
        <f>IF('Données projet'!$A$244&gt;35,FZ73+FY74-GH73,IF(A74&lt;'Données projet'!$A$244,$FW$205^A74,IF(A74='Données projet'!$A$244,'Données projet'!$B$244,FZ73+FY74-GH73)))</f>
        <v>448.20000000000016</v>
      </c>
      <c r="GA74" s="17">
        <f>FZ74*VLOOKUP('Données projet'!$B$17,Paramètres!$A$1:$I$89,3,0)*VLOOKUP('Données projet'!$B$17,Paramètres!$A$1:$I$89,5,0)</f>
        <v>268.0236000000001</v>
      </c>
      <c r="GB74" s="13">
        <f t="shared" si="103"/>
        <v>64.429648145853221</v>
      </c>
      <c r="GC74" s="20">
        <f t="shared" si="79"/>
        <v>579.02274052069447</v>
      </c>
      <c r="GD74" s="59">
        <f t="shared" si="80"/>
        <v>872.35607385402773</v>
      </c>
      <c r="GE74" s="59">
        <f ca="1">AVERAGE(OFFSET($GD$3,0,0,'Données projet'!$E$17+1,1))-AVERAGE(OFFSET($H$3,0,0,'Données projet'!$E$17+1,1))</f>
        <v>259.30247982593914</v>
      </c>
      <c r="GF74" s="59">
        <f t="shared" si="104"/>
        <v>275.24740346220779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5.7860089840888493</v>
      </c>
      <c r="GN74" s="21">
        <f>EXP(-LN(2)/2)*GN73+(1-EXP(-LN(2)/2))/(LN(2)/2)*GH74*GK74*VLOOKUP('Données projet'!$B$17,Paramètres!$A$1:$I$89,3,0)*0.475*44/12</f>
        <v>1.9340662911620465E-5</v>
      </c>
      <c r="GO74" s="21">
        <f t="shared" si="81"/>
        <v>5.7860283247517605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3.1</v>
      </c>
      <c r="GU74" s="12">
        <f>IF('Données projet'!$A$270&gt;35,GU73+GT74-HC73,IF(A74&lt;'Données projet'!$A$270,$GR$205^A74,IF(A74='Données projet'!$A$270,'Données projet'!$B$270,GU73+GT74-HC73)))</f>
        <v>256.09999999999985</v>
      </c>
      <c r="GV74" s="17">
        <f>GU74*VLOOKUP('Données projet'!$B$18,Paramètres!$A$1:$I$89,3,0)*VLOOKUP('Données projet'!$B$18,Paramètres!$A$1:$I$89,5,0)</f>
        <v>203.75315999999989</v>
      </c>
      <c r="GW74" s="13">
        <f t="shared" si="105"/>
        <v>50.568104070523326</v>
      </c>
      <c r="GX74" s="20">
        <f t="shared" si="82"/>
        <v>442.94286825616126</v>
      </c>
      <c r="GY74" s="59">
        <f t="shared" si="83"/>
        <v>736.27620158949458</v>
      </c>
      <c r="GZ74" s="59">
        <f ca="1">AVERAGE(OFFSET($GY$3,0,0,'Données projet'!$E$18+1,1))-AVERAGE(OFFSET($H$3,0,0,'Données projet'!$E$18+1,1))</f>
        <v>199.58763537752952</v>
      </c>
      <c r="HA74" s="59">
        <f t="shared" si="106"/>
        <v>242.62852778451929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0</v>
      </c>
      <c r="HH74" s="21">
        <f>EXP(-LN(2)/25)*HH73+(1-EXP(-LN(2)/25))/(LN(2)/25)*Calculateur!HC74*Calculateur!HE74*VLOOKUP('Données projet'!$B$18,Paramètres!$A$1:$I$89,3,0)*0.475*44/12</f>
        <v>3.2993595762182726</v>
      </c>
      <c r="HI74" s="21">
        <f>EXP(-LN(2)/2)*HI73+(1-EXP(-LN(2)/2))/(LN(2)/2)*HC74*HF74*VLOOKUP('Données projet'!$B$18,Paramètres!$A$1:$I$89,3,0)*0.475*44/12</f>
        <v>7.2570523414430848E-6</v>
      </c>
      <c r="HJ74" s="22">
        <f t="shared" si="84"/>
        <v>3.2993668332706139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6.1</v>
      </c>
      <c r="N75" s="13">
        <f>IF('Données projet'!$A$36&gt;35,N74+M75-V74,IF(A75&lt;'Données projet'!$A$36,$K$205^A75,IF(A75='Données projet'!$A$36,'Données projet'!$B$36,N74+M75-V74)))</f>
        <v>233.20000000000019</v>
      </c>
      <c r="O75" s="13">
        <f>N75*VLOOKUP('Données projet'!$B$9,Paramètres!$A$1:$I$89,3,0)*VLOOKUP('Données projet'!$B$9,Paramètres!$A$1:$I$89,5,0)</f>
        <v>210.99936000000014</v>
      </c>
      <c r="P75" s="13">
        <f t="shared" si="87"/>
        <v>52.153910623486667</v>
      </c>
      <c r="Q75" s="20">
        <f t="shared" si="54"/>
        <v>458.32527966923953</v>
      </c>
      <c r="R75" s="59">
        <f t="shared" si="55"/>
        <v>751.65861300257279</v>
      </c>
      <c r="S75" s="59">
        <f ca="1">AVERAGE(OFFSET($R$3,0,0,'Données projet'!$E$9+1,1))-AVERAGE(OFFSET($H$3,0,0,'Données projet'!$E$9+1,1))</f>
        <v>237.22177246688199</v>
      </c>
      <c r="T75" s="59">
        <f t="shared" si="88"/>
        <v>149.27472147904302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0.9693093759296999</v>
      </c>
      <c r="AB75" s="21">
        <f>EXP(-LN(2)/2)*AB74+(1-EXP(-LN(2)/2))/(LN(2)/2)*V75*Y75*VLOOKUP('Données projet'!$B$9,Paramètres!$A$1:$I$89,3,0)*0.475*44/12</f>
        <v>2.9513110420362603E-6</v>
      </c>
      <c r="AC75" s="22">
        <f t="shared" si="57"/>
        <v>0.9693123272407419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6.1</v>
      </c>
      <c r="AI75" s="13">
        <f>IF('Données projet'!$A$62&gt;35,AI74+AH75-AQ74,IF(A75&lt;'Données projet'!$A$62,$AF$205^A75,IF(A75='Données projet'!$A$62,'Données projet'!$B$62,AI74+AH75-AQ74)))</f>
        <v>233.20000000000019</v>
      </c>
      <c r="AJ75" s="13">
        <f>AI75*VLOOKUP('Données projet'!$B$10,Paramètres!$A$1:$I$89,3,0)*VLOOKUP('Données projet'!$B$10,Paramètres!$A$1:$I$89,5,0)</f>
        <v>236.4648000000002</v>
      </c>
      <c r="AK75" s="13">
        <f t="shared" si="89"/>
        <v>57.678259313423474</v>
      </c>
      <c r="AL75" s="20">
        <f t="shared" si="58"/>
        <v>512.29916163754626</v>
      </c>
      <c r="AM75" s="59">
        <f t="shared" si="59"/>
        <v>805.63249497087963</v>
      </c>
      <c r="AN75" s="59">
        <f ca="1">AVERAGE(OFFSET($AM$3,0,0,'Données projet'!$E$10+1,1))-AVERAGE(OFFSET($H$3,0,0,'Données projet'!$E$10+1,1))</f>
        <v>279.20364724206644</v>
      </c>
      <c r="AO75" s="59">
        <f t="shared" si="90"/>
        <v>173.99850582760712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1.086294990266043</v>
      </c>
      <c r="AW75" s="21">
        <f>EXP(-LN(2)/2)*AW74+(1-EXP(-LN(2)/2))/(LN(2)/2)*AQ75*AT75*VLOOKUP('Données projet'!$B$10,Paramètres!$A$1:$I$89,3,0)*0.475*44/12</f>
        <v>3.3075037540061532E-6</v>
      </c>
      <c r="AX75" s="21">
        <f t="shared" si="60"/>
        <v>1.086298297769797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17</v>
      </c>
      <c r="BD75" s="12">
        <f>IF('Données projet'!$A$88&gt;35,BD74+BC75-BL74,IF(A75&lt;'Données projet'!$A$88,$BA$205^A75,IF(A75='Données projet'!$A$88,'Données projet'!$B$88,BD74+BC75-BL74)))</f>
        <v>396.99999999999989</v>
      </c>
      <c r="BE75" s="13">
        <f>BD75*VLOOKUP('Données projet'!$B$11,Paramètres!$A$1:$I$89,3,0)*VLOOKUP('Données projet'!$B$11,Paramètres!$A$1:$I$89,5,0)</f>
        <v>185.79599999999996</v>
      </c>
      <c r="BF75" s="13">
        <f t="shared" si="91"/>
        <v>46.60930127448345</v>
      </c>
      <c r="BG75" s="20">
        <f t="shared" si="61"/>
        <v>404.77256638639187</v>
      </c>
      <c r="BH75" s="59">
        <f t="shared" si="62"/>
        <v>698.10589971972513</v>
      </c>
      <c r="BI75" s="59">
        <f ca="1">AVERAGE(OFFSET($BH$3,0,0,'Données projet'!$E$11+1,1))-AVERAGE(OFFSET($H$3,0,0,'Données projet'!$E$11+1,1))</f>
        <v>215.23235148064941</v>
      </c>
      <c r="BJ75" s="59">
        <f t="shared" si="92"/>
        <v>184.07239726900434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1.3644058895813205</v>
      </c>
      <c r="BQ75" s="21">
        <f>EXP(-LN(2)/25)*BQ74+(1-EXP(-LN(2)/25))/(LN(2)/25)*Calculateur!BL75*Calculateur!BN75*VLOOKUP('Données projet'!$B$11,Paramètres!$A$1:$I$89,3,0)*0.475*44/12</f>
        <v>2.4515540322243532</v>
      </c>
      <c r="BR75" s="21">
        <f>EXP(-LN(2)/2)*BR74+(1-EXP(-LN(2)/2))/(LN(2)/2)*BL75*BO75*VLOOKUP('Données projet'!$B$11,Paramètres!$A$1:$I$89,3,0)*0.475*44/12</f>
        <v>4.6883470918159446E-6</v>
      </c>
      <c r="BS75" s="22">
        <f t="shared" si="63"/>
        <v>3.8159646101527658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6.1</v>
      </c>
      <c r="BY75" s="12">
        <f>IF('Données projet'!$A$114&gt;35,BY74+BX75-CG74,IF(A75&lt;'Données projet'!$A$114,$BV$205^A75,IF(A75='Données projet'!$A$114,'Données projet'!$B$114,BY74+BX75-CG74)))</f>
        <v>233.20000000000019</v>
      </c>
      <c r="BZ75" s="13">
        <f>BY75*VLOOKUP('Données projet'!$B$12,Paramètres!$A$1:$I$89,3,0)*VLOOKUP('Données projet'!$B$12,Paramètres!$A$1:$I$89,5,0)</f>
        <v>251.0164800000002</v>
      </c>
      <c r="CA75" s="13">
        <f t="shared" si="93"/>
        <v>60.803553316193685</v>
      </c>
      <c r="CB75" s="20">
        <f t="shared" si="64"/>
        <v>543.08655802570433</v>
      </c>
      <c r="CC75" s="59">
        <f t="shared" si="65"/>
        <v>836.41989135903759</v>
      </c>
      <c r="CD75" s="59">
        <f ca="1">AVERAGE(OFFSET($CC$3,0,0,'Données projet'!$E$12+1,1))-AVERAGE(OFFSET($H$3,0,0,'Données projet'!$E$12+1,1))</f>
        <v>303.1504619632214</v>
      </c>
      <c r="CE75" s="59">
        <f t="shared" si="94"/>
        <v>188.09929616366503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1.1531439127439533</v>
      </c>
      <c r="CM75" s="21">
        <f>EXP(-LN(2)/2)*CM74+(1-EXP(-LN(2)/2))/(LN(2)/2)*CG75*CJ75*VLOOKUP('Données projet'!$B$12,Paramètres!$A$1:$I$89,3,0)*0.475*44/12</f>
        <v>3.5110424465603847E-6</v>
      </c>
      <c r="CN75" s="22">
        <f t="shared" si="66"/>
        <v>1.1531474237863999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3.1</v>
      </c>
      <c r="CT75" s="12">
        <f>IF('Données projet'!$A$140&gt;35,CT74+CS75-DB74,IF(A75&lt;'Données projet'!$A$140,$CQ$205^A75,IF(A75='Données projet'!$A$140,'Données projet'!$B$140,CT74+CS75-DB74)))</f>
        <v>259.19999999999987</v>
      </c>
      <c r="CU75" s="17">
        <f>CT75*VLOOKUP('Données projet'!$B$13,Paramètres!$A$1:$I$89,3,0)*VLOOKUP('Données projet'!$B$13,Paramètres!$A$1:$I$89,5,0)</f>
        <v>173.87135999999992</v>
      </c>
      <c r="CV75" s="13">
        <f t="shared" si="95"/>
        <v>43.955939893839918</v>
      </c>
      <c r="CW75" s="20">
        <f t="shared" si="67"/>
        <v>379.38254731510438</v>
      </c>
      <c r="CX75" s="59">
        <f t="shared" si="68"/>
        <v>672.71588064843763</v>
      </c>
      <c r="CY75" s="59">
        <f ca="1">AVERAGE(OFFSET($CX$3,0,0,'Données projet'!$E$13+1,1))-AVERAGE(OFFSET($H$3,0,0,'Données projet'!$E$13+1,1))</f>
        <v>156.63226020379989</v>
      </c>
      <c r="CZ75" s="59">
        <f t="shared" si="96"/>
        <v>196.0481096619543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2.705744153908523</v>
      </c>
      <c r="DH75" s="21">
        <f>EXP(-LN(2)/2)*DH74+(1-EXP(-LN(2)/2))/(LN(2)/2)*DB75*DE75*VLOOKUP('Données projet'!$B$13,Paramètres!$A$1:$I$89,3,0)*0.475*44/12</f>
        <v>4.3265680323251932E-6</v>
      </c>
      <c r="DI75" s="22">
        <f t="shared" si="69"/>
        <v>2.7057484804765553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-8.5265128291212022E-14</v>
      </c>
      <c r="DP75" s="17">
        <f>DO75*VLOOKUP('Données projet'!$B$14,Paramètres!$A$1:$I$89,3,0)*VLOOKUP('Données projet'!$B$14,Paramètres!$A$1:$I$89,5,0)</f>
        <v>-7.7147888077888636E-14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225.28075317732998</v>
      </c>
      <c r="DU75" s="59">
        <f t="shared" si="98"/>
        <v>358.43407531256207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0.97655057803962952</v>
      </c>
      <c r="EB75" s="21">
        <f>EXP(-LN(2)/25)*EB74+(1-EXP(-LN(2)/25))/(LN(2)/25)*Calculateur!DW75*Calculateur!DY75*VLOOKUP('Données projet'!$B$14,Paramètres!$A$1:$I$89,3,0)*0.475*44/12</f>
        <v>2.5815652639915196</v>
      </c>
      <c r="EC75" s="21">
        <f>EXP(-LN(2)/2)*EC74+(1-EXP(-LN(2)/2))/(LN(2)/2)*DW75*DZ75*VLOOKUP('Données projet'!$B$14,Paramètres!$A$1:$I$89,3,0)*0.475*44/12</f>
        <v>2.104769284710657E-6</v>
      </c>
      <c r="ED75" s="22">
        <f t="shared" si="72"/>
        <v>3.5581179468004338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10.4</v>
      </c>
      <c r="EJ75" s="12">
        <f>IF('Données projet'!$A$192&gt;35,EJ74+EI75-ER74,IF(A75&lt;'Données projet'!$A$192,$EG$205^A75,IF(A75='Données projet'!$A$192,'Données projet'!$B$192,EJ74+EI75-ER74)))</f>
        <v>567.79999999999961</v>
      </c>
      <c r="EK75" s="17">
        <f>EJ75*VLOOKUP('Données projet'!$B$15,Paramètres!$A$1:$I$89,3,0)*VLOOKUP('Données projet'!$B$15,Paramètres!$A$1:$I$89,5,0)</f>
        <v>317.40019999999976</v>
      </c>
      <c r="EL75" s="13">
        <f t="shared" si="99"/>
        <v>74.812158158961168</v>
      </c>
      <c r="EM75" s="20">
        <f t="shared" si="73"/>
        <v>683.10319046019015</v>
      </c>
      <c r="EN75" s="59">
        <f t="shared" si="74"/>
        <v>976.43652379352352</v>
      </c>
      <c r="EO75" s="59">
        <f ca="1">AVERAGE(OFFSET($EN$3,0,0,'Données projet'!$E$15+1,1))-AVERAGE(OFFSET($H$3,0,0,'Données projet'!$E$15+1,1))</f>
        <v>326.31232746914907</v>
      </c>
      <c r="EP75" s="59">
        <f t="shared" si="100"/>
        <v>330.17137761430297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1.9883135936285541</v>
      </c>
      <c r="EW75" s="21">
        <f>EXP(-LN(2)/25)*EW74+(1-EXP(-LN(2)/25))/(LN(2)/25)*Calculateur!ER75*Calculateur!ET75*VLOOKUP('Données projet'!$B$15,Paramètres!$A$1:$I$89,3,0)*0.475*44/12</f>
        <v>9.4164532685102831</v>
      </c>
      <c r="EX75" s="21">
        <f>EXP(-LN(2)/2)*EX74+(1-EXP(-LN(2)/2))/(LN(2)/2)*ER75*EU75*VLOOKUP('Données projet'!$B$15,Paramètres!$A$1:$I$89,3,0)*0.475*44/12</f>
        <v>1.5507740197389241E-5</v>
      </c>
      <c r="EY75" s="22">
        <f t="shared" si="75"/>
        <v>11.404782369879035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6</v>
      </c>
      <c r="FE75" s="12">
        <f>IF('Données projet'!$A$218&gt;35,FE74+FD75-FM74,IF(A75&lt;'Données projet'!$A$218,$FB$205^A75,IF(A75='Données projet'!$A$218,'Données projet'!$B$218,FE74+FD75-FM74)))</f>
        <v>394</v>
      </c>
      <c r="FF75" s="17">
        <f>FE75*VLOOKUP('Données projet'!$B$16,Paramètres!$A$1:$I$89,3,0)*VLOOKUP('Données projet'!$B$16,Paramètres!$A$1:$I$89,5,0)</f>
        <v>245.85600000000002</v>
      </c>
      <c r="FG75" s="13">
        <f t="shared" si="101"/>
        <v>59.697704223314012</v>
      </c>
      <c r="FH75" s="20">
        <f t="shared" si="76"/>
        <v>532.17270152227195</v>
      </c>
      <c r="FI75" s="59">
        <f t="shared" si="77"/>
        <v>825.50603485560532</v>
      </c>
      <c r="FJ75" s="59">
        <f ca="1">AVERAGE(OFFSET($FI$3,0,0,'Données projet'!$E$16+1,1))-AVERAGE(OFFSET($H$3,0,0,'Données projet'!$E$16+1,1))</f>
        <v>255.41017495879987</v>
      </c>
      <c r="FK75" s="59">
        <f t="shared" si="102"/>
        <v>297.50513563712764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3.6319301160572302</v>
      </c>
      <c r="FR75" s="21">
        <f>EXP(-LN(2)/25)*FR74+(1-EXP(-LN(2)/25))/(LN(2)/25)*Calculateur!FM75*Calculateur!FO75*VLOOKUP('Données projet'!$B$16,Paramètres!$A$1:$I$89,3,0)*0.475*44/12</f>
        <v>8.6977018140160283</v>
      </c>
      <c r="FS75" s="21">
        <f>EXP(-LN(2)/2)*FS74+(1-EXP(-LN(2)/2))/(LN(2)/2)*FM75*FP75*VLOOKUP('Données projet'!$B$16,Paramètres!$A$1:$I$89,3,0)*0.475*44/12</f>
        <v>1.1635394638496342E-5</v>
      </c>
      <c r="FT75" s="22">
        <f t="shared" si="78"/>
        <v>12.329643565467897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8.1999999999999993</v>
      </c>
      <c r="FZ75" s="12">
        <f>IF('Données projet'!$A$244&gt;35,FZ74+FY75-GH74,IF(A75&lt;'Données projet'!$A$244,$FW$205^A75,IF(A75='Données projet'!$A$244,'Données projet'!$B$244,FZ74+FY75-GH74)))</f>
        <v>456.40000000000015</v>
      </c>
      <c r="GA75" s="17">
        <f>FZ75*VLOOKUP('Données projet'!$B$17,Paramètres!$A$1:$I$89,3,0)*VLOOKUP('Données projet'!$B$17,Paramètres!$A$1:$I$89,5,0)</f>
        <v>272.92720000000008</v>
      </c>
      <c r="GB75" s="13">
        <f t="shared" si="103"/>
        <v>65.470104600408447</v>
      </c>
      <c r="GC75" s="20">
        <f t="shared" si="79"/>
        <v>589.37530551237808</v>
      </c>
      <c r="GD75" s="59">
        <f t="shared" si="80"/>
        <v>882.70863884571145</v>
      </c>
      <c r="GE75" s="59">
        <f ca="1">AVERAGE(OFFSET($GD$3,0,0,'Données projet'!$E$17+1,1))-AVERAGE(OFFSET($H$3,0,0,'Données projet'!$E$17+1,1))</f>
        <v>259.30247982593914</v>
      </c>
      <c r="GF75" s="59">
        <f t="shared" si="104"/>
        <v>275.24740346220779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5.6277902641459514</v>
      </c>
      <c r="GN75" s="21">
        <f>EXP(-LN(2)/2)*GN74+(1-EXP(-LN(2)/2))/(LN(2)/2)*GH75*GK75*VLOOKUP('Données projet'!$B$17,Paramètres!$A$1:$I$89,3,0)*0.475*44/12</f>
        <v>1.3675913897449988E-5</v>
      </c>
      <c r="GO75" s="21">
        <f t="shared" si="81"/>
        <v>5.6278039400598487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3.1</v>
      </c>
      <c r="GU75" s="12">
        <f>IF('Données projet'!$A$270&gt;35,GU74+GT75-HC74,IF(A75&lt;'Données projet'!$A$270,$GR$205^A75,IF(A75='Données projet'!$A$270,'Données projet'!$B$270,GU74+GT75-HC74)))</f>
        <v>259.19999999999987</v>
      </c>
      <c r="GV75" s="17">
        <f>GU75*VLOOKUP('Données projet'!$B$18,Paramètres!$A$1:$I$89,3,0)*VLOOKUP('Données projet'!$B$18,Paramètres!$A$1:$I$89,5,0)</f>
        <v>206.21951999999993</v>
      </c>
      <c r="GW75" s="13">
        <f t="shared" si="105"/>
        <v>51.10858428464028</v>
      </c>
      <c r="GX75" s="20">
        <f t="shared" si="82"/>
        <v>448.17978162908167</v>
      </c>
      <c r="GY75" s="59">
        <f t="shared" si="83"/>
        <v>741.51311496241499</v>
      </c>
      <c r="GZ75" s="59">
        <f ca="1">AVERAGE(OFFSET($GY$3,0,0,'Données projet'!$E$18+1,1))-AVERAGE(OFFSET($H$3,0,0,'Données projet'!$E$18+1,1))</f>
        <v>199.58763537752952</v>
      </c>
      <c r="HA75" s="59">
        <f t="shared" si="106"/>
        <v>242.62852778451929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0</v>
      </c>
      <c r="HH75" s="21">
        <f>EXP(-LN(2)/25)*HH74+(1-EXP(-LN(2)/25))/(LN(2)/25)*Calculateur!HC75*Calculateur!HE75*VLOOKUP('Données projet'!$B$18,Paramètres!$A$1:$I$89,3,0)*0.475*44/12</f>
        <v>3.2091384151008047</v>
      </c>
      <c r="HI75" s="21">
        <f>EXP(-LN(2)/2)*HI74+(1-EXP(-LN(2)/2))/(LN(2)/2)*HC75*HF75*VLOOKUP('Données projet'!$B$18,Paramètres!$A$1:$I$89,3,0)*0.475*44/12</f>
        <v>5.1315109220601177E-6</v>
      </c>
      <c r="HJ75" s="22">
        <f t="shared" si="84"/>
        <v>3.2091435466117266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6.1</v>
      </c>
      <c r="N76" s="13">
        <f>IF('Données projet'!$A$36&gt;35,N75+M76-V75,IF(A76&lt;'Données projet'!$A$36,$K$205^A76,IF(A76='Données projet'!$A$36,'Données projet'!$B$36,N75+M76-V75)))</f>
        <v>239.30000000000018</v>
      </c>
      <c r="O76" s="13">
        <f>N76*VLOOKUP('Données projet'!$B$9,Paramètres!$A$1:$I$89,3,0)*VLOOKUP('Données projet'!$B$9,Paramètres!$A$1:$I$89,5,0)</f>
        <v>216.51864000000015</v>
      </c>
      <c r="P76" s="13">
        <f t="shared" si="87"/>
        <v>53.357528323079173</v>
      </c>
      <c r="Q76" s="20">
        <f t="shared" si="54"/>
        <v>470.03432649602973</v>
      </c>
      <c r="R76" s="59">
        <f t="shared" si="55"/>
        <v>763.36765982936299</v>
      </c>
      <c r="S76" s="59">
        <f ca="1">AVERAGE(OFFSET($R$3,0,0,'Données projet'!$E$9+1,1))-AVERAGE(OFFSET($H$3,0,0,'Données projet'!$E$9+1,1))</f>
        <v>237.22177246688199</v>
      </c>
      <c r="T76" s="59">
        <f t="shared" si="88"/>
        <v>149.27472147904302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0.94280356007113753</v>
      </c>
      <c r="AB76" s="21">
        <f>EXP(-LN(2)/2)*AB75+(1-EXP(-LN(2)/2))/(LN(2)/2)*V76*Y76*VLOOKUP('Données projet'!$B$9,Paramètres!$A$1:$I$89,3,0)*0.475*44/12</f>
        <v>2.0868920512145754E-6</v>
      </c>
      <c r="AC76" s="22">
        <f t="shared" si="57"/>
        <v>0.94280564696318869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6.1</v>
      </c>
      <c r="AI76" s="13">
        <f>IF('Données projet'!$A$62&gt;35,AI75+AH76-AQ75,IF(A76&lt;'Données projet'!$A$62,$AF$205^A76,IF(A76='Données projet'!$A$62,'Données projet'!$B$62,AI75+AH76-AQ75)))</f>
        <v>239.30000000000018</v>
      </c>
      <c r="AJ76" s="13">
        <f>AI76*VLOOKUP('Données projet'!$B$10,Paramètres!$A$1:$I$89,3,0)*VLOOKUP('Données projet'!$B$10,Paramètres!$A$1:$I$89,5,0)</f>
        <v>242.65020000000021</v>
      </c>
      <c r="AK76" s="13">
        <f t="shared" si="89"/>
        <v>59.009368964864635</v>
      </c>
      <c r="AL76" s="20">
        <f t="shared" si="58"/>
        <v>525.39041594713956</v>
      </c>
      <c r="AM76" s="59">
        <f t="shared" si="59"/>
        <v>818.72374928047293</v>
      </c>
      <c r="AN76" s="59">
        <f ca="1">AVERAGE(OFFSET($AM$3,0,0,'Données projet'!$E$10+1,1))-AVERAGE(OFFSET($H$3,0,0,'Données projet'!$E$10+1,1))</f>
        <v>279.20364724206644</v>
      </c>
      <c r="AO76" s="59">
        <f t="shared" si="90"/>
        <v>173.99850582760712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1.0565901966314473</v>
      </c>
      <c r="AW76" s="21">
        <f>EXP(-LN(2)/2)*AW75+(1-EXP(-LN(2)/2))/(LN(2)/2)*AQ76*AT76*VLOOKUP('Données projet'!$B$10,Paramètres!$A$1:$I$89,3,0)*0.475*44/12</f>
        <v>2.3387583332577135E-6</v>
      </c>
      <c r="AX76" s="21">
        <f t="shared" si="60"/>
        <v>1.0565925353897805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17</v>
      </c>
      <c r="BD76" s="12">
        <f>IF('Données projet'!$A$88&gt;35,BD75+BC76-BL75,IF(A76&lt;'Données projet'!$A$88,$BA$205^A76,IF(A76='Données projet'!$A$88,'Données projet'!$B$88,BD75+BC76-BL75)))</f>
        <v>413.99999999999989</v>
      </c>
      <c r="BE76" s="13">
        <f>BD76*VLOOKUP('Données projet'!$B$11,Paramètres!$A$1:$I$89,3,0)*VLOOKUP('Données projet'!$B$11,Paramètres!$A$1:$I$89,5,0)</f>
        <v>193.75199999999995</v>
      </c>
      <c r="BF76" s="13">
        <f t="shared" si="91"/>
        <v>48.36852035537607</v>
      </c>
      <c r="BG76" s="20">
        <f t="shared" si="61"/>
        <v>421.69323961894656</v>
      </c>
      <c r="BH76" s="59">
        <f t="shared" si="62"/>
        <v>715.02657295227982</v>
      </c>
      <c r="BI76" s="59">
        <f ca="1">AVERAGE(OFFSET($BH$3,0,0,'Données projet'!$E$11+1,1))-AVERAGE(OFFSET($H$3,0,0,'Données projet'!$E$11+1,1))</f>
        <v>215.23235148064941</v>
      </c>
      <c r="BJ76" s="59">
        <f t="shared" si="92"/>
        <v>184.07239726900434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1.33765072229205</v>
      </c>
      <c r="BQ76" s="21">
        <f>EXP(-LN(2)/25)*BQ75+(1-EXP(-LN(2)/25))/(LN(2)/25)*Calculateur!BL76*Calculateur!BN76*VLOOKUP('Données projet'!$B$11,Paramètres!$A$1:$I$89,3,0)*0.475*44/12</f>
        <v>2.3845161582915546</v>
      </c>
      <c r="BR76" s="21">
        <f>EXP(-LN(2)/2)*BR75+(1-EXP(-LN(2)/2))/(LN(2)/2)*BL76*BO76*VLOOKUP('Données projet'!$B$11,Paramètres!$A$1:$I$89,3,0)*0.475*44/12</f>
        <v>3.3151620211792836E-6</v>
      </c>
      <c r="BS76" s="22">
        <f t="shared" si="63"/>
        <v>3.7221701957456261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6.1</v>
      </c>
      <c r="BY76" s="12">
        <f>IF('Données projet'!$A$114&gt;35,BY75+BX76-CG75,IF(A76&lt;'Données projet'!$A$114,$BV$205^A76,IF(A76='Données projet'!$A$114,'Données projet'!$B$114,BY75+BX76-CG75)))</f>
        <v>239.30000000000018</v>
      </c>
      <c r="BZ76" s="13">
        <f>BY76*VLOOKUP('Données projet'!$B$12,Paramètres!$A$1:$I$89,3,0)*VLOOKUP('Données projet'!$B$12,Paramètres!$A$1:$I$89,5,0)</f>
        <v>257.58252000000016</v>
      </c>
      <c r="CA76" s="13">
        <f t="shared" si="93"/>
        <v>62.206789086907435</v>
      </c>
      <c r="CB76" s="20">
        <f t="shared" si="64"/>
        <v>556.96637999303061</v>
      </c>
      <c r="CC76" s="59">
        <f t="shared" si="65"/>
        <v>850.29971332636387</v>
      </c>
      <c r="CD76" s="59">
        <f ca="1">AVERAGE(OFFSET($CC$3,0,0,'Données projet'!$E$12+1,1))-AVERAGE(OFFSET($H$3,0,0,'Données projet'!$E$12+1,1))</f>
        <v>303.1504619632214</v>
      </c>
      <c r="CE76" s="59">
        <f t="shared" si="94"/>
        <v>188.09929616366503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1.1216111318087671</v>
      </c>
      <c r="CM76" s="21">
        <f>EXP(-LN(2)/2)*CM75+(1-EXP(-LN(2)/2))/(LN(2)/2)*CG76*CJ76*VLOOKUP('Données projet'!$B$12,Paramètres!$A$1:$I$89,3,0)*0.475*44/12</f>
        <v>2.4826819229966544E-6</v>
      </c>
      <c r="CN76" s="22">
        <f t="shared" si="66"/>
        <v>1.1216136144906901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3.1</v>
      </c>
      <c r="CT76" s="12">
        <f>IF('Données projet'!$A$140&gt;35,CT75+CS76-DB75,IF(A76&lt;'Données projet'!$A$140,$CQ$205^A76,IF(A76='Données projet'!$A$140,'Données projet'!$B$140,CT75+CS76-DB75)))</f>
        <v>262.2999999999999</v>
      </c>
      <c r="CU76" s="17">
        <f>CT76*VLOOKUP('Données projet'!$B$13,Paramètres!$A$1:$I$89,3,0)*VLOOKUP('Données projet'!$B$13,Paramètres!$A$1:$I$89,5,0)</f>
        <v>175.95083999999994</v>
      </c>
      <c r="CV76" s="13">
        <f t="shared" si="95"/>
        <v>44.420133239274335</v>
      </c>
      <c r="CW76" s="20">
        <f t="shared" si="67"/>
        <v>383.812778391736</v>
      </c>
      <c r="CX76" s="59">
        <f t="shared" si="68"/>
        <v>677.14611172506932</v>
      </c>
      <c r="CY76" s="59">
        <f ca="1">AVERAGE(OFFSET($CX$3,0,0,'Données projet'!$E$13+1,1))-AVERAGE(OFFSET($H$3,0,0,'Données projet'!$E$13+1,1))</f>
        <v>156.63226020379989</v>
      </c>
      <c r="CZ76" s="59">
        <f t="shared" si="96"/>
        <v>196.0481096619543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2.6317554377309933</v>
      </c>
      <c r="DH76" s="21">
        <f>EXP(-LN(2)/2)*DH75+(1-EXP(-LN(2)/2))/(LN(2)/2)*DB76*DE76*VLOOKUP('Données projet'!$B$13,Paramètres!$A$1:$I$89,3,0)*0.475*44/12</f>
        <v>3.0593455949220819E-6</v>
      </c>
      <c r="DI76" s="22">
        <f t="shared" si="69"/>
        <v>2.6317584970765884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-8.5265128291212022E-14</v>
      </c>
      <c r="DP76" s="17">
        <f>DO76*VLOOKUP('Données projet'!$B$14,Paramètres!$A$1:$I$89,3,0)*VLOOKUP('Données projet'!$B$14,Paramètres!$A$1:$I$89,5,0)</f>
        <v>-7.7147888077888636E-14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225.28075317732998</v>
      </c>
      <c r="DU76" s="59">
        <f t="shared" si="98"/>
        <v>358.43407531256207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0.95740101684131074</v>
      </c>
      <c r="EB76" s="21">
        <f>EXP(-LN(2)/25)*EB75+(1-EXP(-LN(2)/25))/(LN(2)/25)*Calculateur!DW76*Calculateur!DY76*VLOOKUP('Données projet'!$B$14,Paramètres!$A$1:$I$89,3,0)*0.475*44/12</f>
        <v>2.5109722260890543</v>
      </c>
      <c r="EC76" s="21">
        <f>EXP(-LN(2)/2)*EC75+(1-EXP(-LN(2)/2))/(LN(2)/2)*DW76*DZ76*VLOOKUP('Données projet'!$B$14,Paramètres!$A$1:$I$89,3,0)*0.475*44/12</f>
        <v>1.4882966340520647E-6</v>
      </c>
      <c r="ED76" s="22">
        <f t="shared" si="72"/>
        <v>3.4683747312269992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10.4</v>
      </c>
      <c r="EJ76" s="12">
        <f>IF('Données projet'!$A$192&gt;35,EJ75+EI76-ER75,IF(A76&lt;'Données projet'!$A$192,$EG$205^A76,IF(A76='Données projet'!$A$192,'Données projet'!$B$192,EJ75+EI76-ER75)))</f>
        <v>578.19999999999959</v>
      </c>
      <c r="EK76" s="17">
        <f>EJ76*VLOOKUP('Données projet'!$B$15,Paramètres!$A$1:$I$89,3,0)*VLOOKUP('Données projet'!$B$15,Paramètres!$A$1:$I$89,5,0)</f>
        <v>323.21379999999982</v>
      </c>
      <c r="EL76" s="13">
        <f t="shared" si="99"/>
        <v>76.021657849237485</v>
      </c>
      <c r="EM76" s="20">
        <f t="shared" si="73"/>
        <v>695.33508908742158</v>
      </c>
      <c r="EN76" s="59">
        <f t="shared" si="74"/>
        <v>988.66842242075495</v>
      </c>
      <c r="EO76" s="59">
        <f ca="1">AVERAGE(OFFSET($EN$3,0,0,'Données projet'!$E$15+1,1))-AVERAGE(OFFSET($H$3,0,0,'Données projet'!$E$15+1,1))</f>
        <v>326.31232746914907</v>
      </c>
      <c r="EP76" s="59">
        <f t="shared" si="100"/>
        <v>330.17137761430297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1.9493239768090409</v>
      </c>
      <c r="EW76" s="21">
        <f>EXP(-LN(2)/25)*EW75+(1-EXP(-LN(2)/25))/(LN(2)/25)*Calculateur!ER76*Calculateur!ET76*VLOOKUP('Données projet'!$B$15,Paramètres!$A$1:$I$89,3,0)*0.475*44/12</f>
        <v>9.1589598586931142</v>
      </c>
      <c r="EX76" s="21">
        <f>EXP(-LN(2)/2)*EX75+(1-EXP(-LN(2)/2))/(LN(2)/2)*ER76*EU76*VLOOKUP('Données projet'!$B$15,Paramètres!$A$1:$I$89,3,0)*0.475*44/12</f>
        <v>1.0965628254453141E-5</v>
      </c>
      <c r="EY76" s="22">
        <f t="shared" si="75"/>
        <v>11.108294801130409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6</v>
      </c>
      <c r="FE76" s="12">
        <f>IF('Données projet'!$A$218&gt;35,FE75+FD76-FM75,IF(A76&lt;'Données projet'!$A$218,$FB$205^A76,IF(A76='Données projet'!$A$218,'Données projet'!$B$218,FE75+FD76-FM75)))</f>
        <v>400</v>
      </c>
      <c r="FF76" s="17">
        <f>FE76*VLOOKUP('Données projet'!$B$16,Paramètres!$A$1:$I$89,3,0)*VLOOKUP('Données projet'!$B$16,Paramètres!$A$1:$I$89,5,0)</f>
        <v>249.60000000000002</v>
      </c>
      <c r="FG76" s="13">
        <f t="shared" si="101"/>
        <v>60.500278891753695</v>
      </c>
      <c r="FH76" s="20">
        <f t="shared" si="76"/>
        <v>540.0913190698044</v>
      </c>
      <c r="FI76" s="59">
        <f t="shared" si="77"/>
        <v>833.42465240313777</v>
      </c>
      <c r="FJ76" s="59">
        <f ca="1">AVERAGE(OFFSET($FI$3,0,0,'Données projet'!$E$16+1,1))-AVERAGE(OFFSET($H$3,0,0,'Données projet'!$E$16+1,1))</f>
        <v>255.41017495879987</v>
      </c>
      <c r="FK76" s="59">
        <f t="shared" si="102"/>
        <v>297.50513563712764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3.5607101817399802</v>
      </c>
      <c r="FR76" s="21">
        <f>EXP(-LN(2)/25)*FR75+(1-EXP(-LN(2)/25))/(LN(2)/25)*Calculateur!FM76*Calculateur!FO76*VLOOKUP('Données projet'!$B$16,Paramètres!$A$1:$I$89,3,0)*0.475*44/12</f>
        <v>8.4598627005195013</v>
      </c>
      <c r="FS76" s="21">
        <f>EXP(-LN(2)/2)*FS75+(1-EXP(-LN(2)/2))/(LN(2)/2)*FM76*FP76*VLOOKUP('Données projet'!$B$16,Paramètres!$A$1:$I$89,3,0)*0.475*44/12</f>
        <v>8.2274664506623608E-6</v>
      </c>
      <c r="FT76" s="22">
        <f t="shared" si="78"/>
        <v>12.020581109725931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8.1999999999999993</v>
      </c>
      <c r="FZ76" s="12">
        <f>IF('Données projet'!$A$244&gt;35,FZ75+FY76-GH75,IF(A76&lt;'Données projet'!$A$244,$FW$205^A76,IF(A76='Données projet'!$A$244,'Données projet'!$B$244,FZ75+FY76-GH75)))</f>
        <v>464.60000000000014</v>
      </c>
      <c r="GA76" s="17">
        <f>FZ76*VLOOKUP('Données projet'!$B$17,Paramètres!$A$1:$I$89,3,0)*VLOOKUP('Données projet'!$B$17,Paramètres!$A$1:$I$89,5,0)</f>
        <v>277.83080000000007</v>
      </c>
      <c r="GB76" s="13">
        <f t="shared" si="103"/>
        <v>66.508387274098368</v>
      </c>
      <c r="GC76" s="20">
        <f t="shared" si="79"/>
        <v>599.72408450238811</v>
      </c>
      <c r="GD76" s="59">
        <f t="shared" si="80"/>
        <v>893.05741783572148</v>
      </c>
      <c r="GE76" s="59">
        <f ca="1">AVERAGE(OFFSET($GD$3,0,0,'Données projet'!$E$17+1,1))-AVERAGE(OFFSET($H$3,0,0,'Données projet'!$E$17+1,1))</f>
        <v>259.30247982593914</v>
      </c>
      <c r="GF76" s="59">
        <f t="shared" si="104"/>
        <v>275.24740346220779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5.4738980434202524</v>
      </c>
      <c r="GN76" s="21">
        <f>EXP(-LN(2)/2)*GN75+(1-EXP(-LN(2)/2))/(LN(2)/2)*GH76*GK76*VLOOKUP('Données projet'!$B$17,Paramètres!$A$1:$I$89,3,0)*0.475*44/12</f>
        <v>9.6703314558102326E-6</v>
      </c>
      <c r="GO76" s="21">
        <f t="shared" si="81"/>
        <v>5.473907713751708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3.1</v>
      </c>
      <c r="GU76" s="12">
        <f>IF('Données projet'!$A$270&gt;35,GU75+GT76-HC75,IF(A76&lt;'Données projet'!$A$270,$GR$205^A76,IF(A76='Données projet'!$A$270,'Données projet'!$B$270,GU75+GT76-HC75)))</f>
        <v>262.2999999999999</v>
      </c>
      <c r="GV76" s="17">
        <f>GU76*VLOOKUP('Données projet'!$B$18,Paramètres!$A$1:$I$89,3,0)*VLOOKUP('Données projet'!$B$18,Paramètres!$A$1:$I$89,5,0)</f>
        <v>208.68587999999991</v>
      </c>
      <c r="GW76" s="13">
        <f t="shared" si="105"/>
        <v>51.648312584769947</v>
      </c>
      <c r="GX76" s="20">
        <f t="shared" si="82"/>
        <v>453.41538541847422</v>
      </c>
      <c r="GY76" s="59">
        <f t="shared" si="83"/>
        <v>746.74871875180747</v>
      </c>
      <c r="GZ76" s="59">
        <f ca="1">AVERAGE(OFFSET($GY$3,0,0,'Données projet'!$E$18+1,1))-AVERAGE(OFFSET($H$3,0,0,'Données projet'!$E$18+1,1))</f>
        <v>199.58763537752952</v>
      </c>
      <c r="HA76" s="59">
        <f t="shared" si="106"/>
        <v>242.62852778451929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0</v>
      </c>
      <c r="HH76" s="21">
        <f>EXP(-LN(2)/25)*HH75+(1-EXP(-LN(2)/25))/(LN(2)/25)*Calculateur!HC76*Calculateur!HE76*VLOOKUP('Données projet'!$B$18,Paramètres!$A$1:$I$89,3,0)*0.475*44/12</f>
        <v>3.1213843563786186</v>
      </c>
      <c r="HI76" s="21">
        <f>EXP(-LN(2)/2)*HI75+(1-EXP(-LN(2)/2))/(LN(2)/2)*HC76*HF76*VLOOKUP('Données projet'!$B$18,Paramètres!$A$1:$I$89,3,0)*0.475*44/12</f>
        <v>3.6285261707215424E-6</v>
      </c>
      <c r="HJ76" s="22">
        <f t="shared" si="84"/>
        <v>3.1213879849047892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6.1</v>
      </c>
      <c r="N77" s="13">
        <f>IF('Données projet'!$A$36&gt;35,N76+M77-V76,IF(A77&lt;'Données projet'!$A$36,$K$205^A77,IF(A77='Données projet'!$A$36,'Données projet'!$B$36,N76+M77-V76)))</f>
        <v>245.40000000000018</v>
      </c>
      <c r="O77" s="13">
        <f>N77*VLOOKUP('Données projet'!$B$9,Paramètres!$A$1:$I$89,3,0)*VLOOKUP('Données projet'!$B$9,Paramètres!$A$1:$I$89,5,0)</f>
        <v>222.03792000000013</v>
      </c>
      <c r="P77" s="13">
        <f t="shared" si="87"/>
        <v>54.5575795882731</v>
      </c>
      <c r="Q77" s="20">
        <f t="shared" si="54"/>
        <v>481.7371617829092</v>
      </c>
      <c r="R77" s="59">
        <f t="shared" si="55"/>
        <v>775.07049511624245</v>
      </c>
      <c r="S77" s="59">
        <f ca="1">AVERAGE(OFFSET($R$3,0,0,'Données projet'!$E$9+1,1))-AVERAGE(OFFSET($H$3,0,0,'Données projet'!$E$9+1,1))</f>
        <v>237.22177246688199</v>
      </c>
      <c r="T77" s="59">
        <f t="shared" si="88"/>
        <v>149.27472147904302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0.91702254714110787</v>
      </c>
      <c r="AB77" s="21">
        <f>EXP(-LN(2)/2)*AB76+(1-EXP(-LN(2)/2))/(LN(2)/2)*V77*Y77*VLOOKUP('Données projet'!$B$9,Paramètres!$A$1:$I$89,3,0)*0.475*44/12</f>
        <v>1.4756555210181301E-6</v>
      </c>
      <c r="AC77" s="22">
        <f t="shared" si="57"/>
        <v>0.91702402279662887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6.1</v>
      </c>
      <c r="AI77" s="13">
        <f>IF('Données projet'!$A$62&gt;35,AI76+AH77-AQ76,IF(A77&lt;'Données projet'!$A$62,$AF$205^A77,IF(A77='Données projet'!$A$62,'Données projet'!$B$62,AI76+AH77-AQ76)))</f>
        <v>245.40000000000018</v>
      </c>
      <c r="AJ77" s="13">
        <f>AI77*VLOOKUP('Données projet'!$B$10,Paramètres!$A$1:$I$89,3,0)*VLOOKUP('Données projet'!$B$10,Paramètres!$A$1:$I$89,5,0)</f>
        <v>248.83560000000023</v>
      </c>
      <c r="AK77" s="13">
        <f t="shared" si="89"/>
        <v>60.336534411056299</v>
      </c>
      <c r="AL77" s="20">
        <f t="shared" si="58"/>
        <v>538.47480076592342</v>
      </c>
      <c r="AM77" s="59">
        <f t="shared" si="59"/>
        <v>831.80813409925668</v>
      </c>
      <c r="AN77" s="59">
        <f ca="1">AVERAGE(OFFSET($AM$3,0,0,'Données projet'!$E$10+1,1))-AVERAGE(OFFSET($H$3,0,0,'Données projet'!$E$10+1,1))</f>
        <v>279.20364724206644</v>
      </c>
      <c r="AO77" s="59">
        <f t="shared" si="90"/>
        <v>173.99850582760712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1.0276976821408967</v>
      </c>
      <c r="AW77" s="21">
        <f>EXP(-LN(2)/2)*AW76+(1-EXP(-LN(2)/2))/(LN(2)/2)*AQ77*AT77*VLOOKUP('Données projet'!$B$10,Paramètres!$A$1:$I$89,3,0)*0.475*44/12</f>
        <v>1.6537518770030766E-6</v>
      </c>
      <c r="AX77" s="21">
        <f t="shared" si="60"/>
        <v>1.0276993358927737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17</v>
      </c>
      <c r="BD77" s="12">
        <f>IF('Données projet'!$A$88&gt;35,BD76+BC77-BL76,IF(A77&lt;'Données projet'!$A$88,$BA$205^A77,IF(A77='Données projet'!$A$88,'Données projet'!$B$88,BD76+BC77-BL76)))</f>
        <v>430.99999999999989</v>
      </c>
      <c r="BE77" s="13">
        <f>BD77*VLOOKUP('Données projet'!$B$11,Paramètres!$A$1:$I$89,3,0)*VLOOKUP('Données projet'!$B$11,Paramètres!$A$1:$I$89,5,0)</f>
        <v>201.70799999999994</v>
      </c>
      <c r="BF77" s="13">
        <f t="shared" si="91"/>
        <v>50.119348451854243</v>
      </c>
      <c r="BG77" s="20">
        <f t="shared" si="61"/>
        <v>438.59929855364607</v>
      </c>
      <c r="BH77" s="59">
        <f t="shared" si="62"/>
        <v>731.93263188697938</v>
      </c>
      <c r="BI77" s="59">
        <f ca="1">AVERAGE(OFFSET($BH$3,0,0,'Données projet'!$E$11+1,1))-AVERAGE(OFFSET($H$3,0,0,'Données projet'!$E$11+1,1))</f>
        <v>215.23235148064941</v>
      </c>
      <c r="BJ77" s="59">
        <f t="shared" si="92"/>
        <v>184.07239726900434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1.3114202075142813</v>
      </c>
      <c r="BQ77" s="21">
        <f>EXP(-LN(2)/25)*BQ76+(1-EXP(-LN(2)/25))/(LN(2)/25)*Calculateur!BL77*Calculateur!BN77*VLOOKUP('Données projet'!$B$11,Paramètres!$A$1:$I$89,3,0)*0.475*44/12</f>
        <v>2.319311438546817</v>
      </c>
      <c r="BR77" s="21">
        <f>EXP(-LN(2)/2)*BR76+(1-EXP(-LN(2)/2))/(LN(2)/2)*BL77*BO77*VLOOKUP('Données projet'!$B$11,Paramètres!$A$1:$I$89,3,0)*0.475*44/12</f>
        <v>2.3441735459079723E-6</v>
      </c>
      <c r="BS77" s="22">
        <f t="shared" si="63"/>
        <v>3.6307339902346443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6.1</v>
      </c>
      <c r="BY77" s="12">
        <f>IF('Données projet'!$A$114&gt;35,BY76+BX77-CG76,IF(A77&lt;'Données projet'!$A$114,$BV$205^A77,IF(A77='Données projet'!$A$114,'Données projet'!$B$114,BY76+BX77-CG76)))</f>
        <v>245.40000000000018</v>
      </c>
      <c r="BZ77" s="13">
        <f>BY77*VLOOKUP('Données projet'!$B$12,Paramètres!$A$1:$I$89,3,0)*VLOOKUP('Données projet'!$B$12,Paramètres!$A$1:$I$89,5,0)</f>
        <v>264.1485600000002</v>
      </c>
      <c r="CA77" s="13">
        <f t="shared" si="93"/>
        <v>63.605866935779758</v>
      </c>
      <c r="CB77" s="20">
        <f t="shared" si="64"/>
        <v>570.83896024648345</v>
      </c>
      <c r="CC77" s="59">
        <f t="shared" si="65"/>
        <v>864.17229357981682</v>
      </c>
      <c r="CD77" s="59">
        <f ca="1">AVERAGE(OFFSET($CC$3,0,0,'Données projet'!$E$12+1,1))-AVERAGE(OFFSET($H$3,0,0,'Données projet'!$E$12+1,1))</f>
        <v>303.1504619632214</v>
      </c>
      <c r="CE77" s="59">
        <f t="shared" si="94"/>
        <v>188.09929616366503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1.0909406164264905</v>
      </c>
      <c r="CM77" s="21">
        <f>EXP(-LN(2)/2)*CM76+(1-EXP(-LN(2)/2))/(LN(2)/2)*CG77*CJ77*VLOOKUP('Données projet'!$B$12,Paramètres!$A$1:$I$89,3,0)*0.475*44/12</f>
        <v>1.7555212232801923E-6</v>
      </c>
      <c r="CN77" s="22">
        <f t="shared" si="66"/>
        <v>1.0909423719477138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3.1</v>
      </c>
      <c r="CT77" s="12">
        <f>IF('Données projet'!$A$140&gt;35,CT76+CS77-DB76,IF(A77&lt;'Données projet'!$A$140,$CQ$205^A77,IF(A77='Données projet'!$A$140,'Données projet'!$B$140,CT76+CS77-DB76)))</f>
        <v>265.39999999999992</v>
      </c>
      <c r="CU77" s="17">
        <f>CT77*VLOOKUP('Données projet'!$B$13,Paramètres!$A$1:$I$89,3,0)*VLOOKUP('Données projet'!$B$13,Paramètres!$A$1:$I$89,5,0)</f>
        <v>178.03031999999993</v>
      </c>
      <c r="CV77" s="13">
        <f t="shared" si="95"/>
        <v>44.883688428064346</v>
      </c>
      <c r="CW77" s="20">
        <f t="shared" si="67"/>
        <v>388.24189801221195</v>
      </c>
      <c r="CX77" s="59">
        <f t="shared" si="68"/>
        <v>681.57523134554526</v>
      </c>
      <c r="CY77" s="59">
        <f ca="1">AVERAGE(OFFSET($CX$3,0,0,'Données projet'!$E$13+1,1))-AVERAGE(OFFSET($H$3,0,0,'Données projet'!$E$13+1,1))</f>
        <v>156.63226020379989</v>
      </c>
      <c r="CZ77" s="59">
        <f t="shared" si="96"/>
        <v>196.0481096619543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2.5597899468882357</v>
      </c>
      <c r="DH77" s="21">
        <f>EXP(-LN(2)/2)*DH76+(1-EXP(-LN(2)/2))/(LN(2)/2)*DB77*DE77*VLOOKUP('Données projet'!$B$13,Paramètres!$A$1:$I$89,3,0)*0.475*44/12</f>
        <v>2.1632840161625966E-6</v>
      </c>
      <c r="DI77" s="22">
        <f t="shared" si="69"/>
        <v>2.5597921101722521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-8.5265128291212022E-14</v>
      </c>
      <c r="DP77" s="17">
        <f>DO77*VLOOKUP('Données projet'!$B$14,Paramètres!$A$1:$I$89,3,0)*VLOOKUP('Données projet'!$B$14,Paramètres!$A$1:$I$89,5,0)</f>
        <v>-7.7147888077888636E-14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225.28075317732998</v>
      </c>
      <c r="DU77" s="59">
        <f t="shared" si="98"/>
        <v>358.43407531256207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0.93862696685801195</v>
      </c>
      <c r="EB77" s="21">
        <f>EXP(-LN(2)/25)*EB76+(1-EXP(-LN(2)/25))/(LN(2)/25)*Calculateur!DW77*Calculateur!DY77*VLOOKUP('Données projet'!$B$14,Paramètres!$A$1:$I$89,3,0)*0.475*44/12</f>
        <v>2.4423095585203587</v>
      </c>
      <c r="EC77" s="21">
        <f>EXP(-LN(2)/2)*EC76+(1-EXP(-LN(2)/2))/(LN(2)/2)*DW77*DZ77*VLOOKUP('Données projet'!$B$14,Paramètres!$A$1:$I$89,3,0)*0.475*44/12</f>
        <v>1.0523846423553285E-6</v>
      </c>
      <c r="ED77" s="22">
        <f t="shared" si="72"/>
        <v>3.3809375777630133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10.4</v>
      </c>
      <c r="EJ77" s="12">
        <f>IF('Données projet'!$A$192&gt;35,EJ76+EI77-ER76,IF(A77&lt;'Données projet'!$A$192,$EG$205^A77,IF(A77='Données projet'!$A$192,'Données projet'!$B$192,EJ76+EI77-ER76)))</f>
        <v>588.59999999999957</v>
      </c>
      <c r="EK77" s="17">
        <f>EJ77*VLOOKUP('Données projet'!$B$15,Paramètres!$A$1:$I$89,3,0)*VLOOKUP('Données projet'!$B$15,Paramètres!$A$1:$I$89,5,0)</f>
        <v>329.02739999999977</v>
      </c>
      <c r="EL77" s="13">
        <f t="shared" si="99"/>
        <v>77.228627751120342</v>
      </c>
      <c r="EM77" s="20">
        <f t="shared" si="73"/>
        <v>707.56258166653413</v>
      </c>
      <c r="EN77" s="59">
        <f t="shared" si="74"/>
        <v>1000.8959149998675</v>
      </c>
      <c r="EO77" s="59">
        <f ca="1">AVERAGE(OFFSET($EN$3,0,0,'Données projet'!$E$15+1,1))-AVERAGE(OFFSET($H$3,0,0,'Données projet'!$E$15+1,1))</f>
        <v>326.31232746914907</v>
      </c>
      <c r="EP77" s="59">
        <f t="shared" si="100"/>
        <v>330.17137761430297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1.9110989225940405</v>
      </c>
      <c r="EW77" s="21">
        <f>EXP(-LN(2)/25)*EW76+(1-EXP(-LN(2)/25))/(LN(2)/25)*Calculateur!ER77*Calculateur!ET77*VLOOKUP('Données projet'!$B$15,Paramètres!$A$1:$I$89,3,0)*0.475*44/12</f>
        <v>8.9085076197083843</v>
      </c>
      <c r="EX77" s="21">
        <f>EXP(-LN(2)/2)*EX76+(1-EXP(-LN(2)/2))/(LN(2)/2)*ER77*EU77*VLOOKUP('Données projet'!$B$15,Paramètres!$A$1:$I$89,3,0)*0.475*44/12</f>
        <v>7.7538700986946205E-6</v>
      </c>
      <c r="EY77" s="22">
        <f t="shared" si="75"/>
        <v>10.819614296172524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6</v>
      </c>
      <c r="FE77" s="12">
        <f>IF('Données projet'!$A$218&gt;35,FE76+FD77-FM76,IF(A77&lt;'Données projet'!$A$218,$FB$205^A77,IF(A77='Données projet'!$A$218,'Données projet'!$B$218,FE76+FD77-FM76)))</f>
        <v>406</v>
      </c>
      <c r="FF77" s="17">
        <f>FE77*VLOOKUP('Données projet'!$B$16,Paramètres!$A$1:$I$89,3,0)*VLOOKUP('Données projet'!$B$16,Paramètres!$A$1:$I$89,5,0)</f>
        <v>253.34399999999999</v>
      </c>
      <c r="FG77" s="13">
        <f t="shared" si="101"/>
        <v>61.301453431926305</v>
      </c>
      <c r="FH77" s="20">
        <f t="shared" si="76"/>
        <v>548.00749806060492</v>
      </c>
      <c r="FI77" s="59">
        <f t="shared" si="77"/>
        <v>841.34083139393829</v>
      </c>
      <c r="FJ77" s="59">
        <f ca="1">AVERAGE(OFFSET($FI$3,0,0,'Données projet'!$E$16+1,1))-AVERAGE(OFFSET($H$3,0,0,'Données projet'!$E$16+1,1))</f>
        <v>255.41017495879987</v>
      </c>
      <c r="FK77" s="59">
        <f t="shared" si="102"/>
        <v>297.50513563712764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3.4908868268948208</v>
      </c>
      <c r="FR77" s="21">
        <f>EXP(-LN(2)/25)*FR76+(1-EXP(-LN(2)/25))/(LN(2)/25)*Calculateur!FM77*Calculateur!FO77*VLOOKUP('Données projet'!$B$16,Paramètres!$A$1:$I$89,3,0)*0.475*44/12</f>
        <v>8.2285273100889516</v>
      </c>
      <c r="FS77" s="21">
        <f>EXP(-LN(2)/2)*FS76+(1-EXP(-LN(2)/2))/(LN(2)/2)*FM77*FP77*VLOOKUP('Données projet'!$B$16,Paramètres!$A$1:$I$89,3,0)*0.475*44/12</f>
        <v>5.8176973192481708E-6</v>
      </c>
      <c r="FT77" s="22">
        <f t="shared" si="78"/>
        <v>11.719419954681092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8.1999999999999993</v>
      </c>
      <c r="FZ77" s="12">
        <f>IF('Données projet'!$A$244&gt;35,FZ76+FY77-GH76,IF(A77&lt;'Données projet'!$A$244,$FW$205^A77,IF(A77='Données projet'!$A$244,'Données projet'!$B$244,FZ76+FY77-GH76)))</f>
        <v>472.80000000000013</v>
      </c>
      <c r="GA77" s="17">
        <f>FZ77*VLOOKUP('Données projet'!$B$17,Paramètres!$A$1:$I$89,3,0)*VLOOKUP('Données projet'!$B$17,Paramètres!$A$1:$I$89,5,0)</f>
        <v>282.73440000000011</v>
      </c>
      <c r="GB77" s="13">
        <f t="shared" si="103"/>
        <v>67.544538959620354</v>
      </c>
      <c r="GC77" s="20">
        <f t="shared" si="79"/>
        <v>610.06915202133894</v>
      </c>
      <c r="GD77" s="59">
        <f t="shared" si="80"/>
        <v>903.40248535467231</v>
      </c>
      <c r="GE77" s="59">
        <f ca="1">AVERAGE(OFFSET($GD$3,0,0,'Données projet'!$E$17+1,1))-AVERAGE(OFFSET($H$3,0,0,'Données projet'!$E$17+1,1))</f>
        <v>259.30247982593914</v>
      </c>
      <c r="GF77" s="59">
        <f t="shared" si="104"/>
        <v>275.24740346220779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5.3242140135631386</v>
      </c>
      <c r="GN77" s="21">
        <f>EXP(-LN(2)/2)*GN76+(1-EXP(-LN(2)/2))/(LN(2)/2)*GH77*GK77*VLOOKUP('Données projet'!$B$17,Paramètres!$A$1:$I$89,3,0)*0.475*44/12</f>
        <v>6.8379569487249938E-6</v>
      </c>
      <c r="GO77" s="21">
        <f t="shared" si="81"/>
        <v>5.3242208515200877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3.1</v>
      </c>
      <c r="GU77" s="12">
        <f>IF('Données projet'!$A$270&gt;35,GU76+GT77-HC76,IF(A77&lt;'Données projet'!$A$270,$GR$205^A77,IF(A77='Données projet'!$A$270,'Données projet'!$B$270,GU76+GT77-HC76)))</f>
        <v>265.39999999999992</v>
      </c>
      <c r="GV77" s="17">
        <f>GU77*VLOOKUP('Données projet'!$B$18,Paramètres!$A$1:$I$89,3,0)*VLOOKUP('Données projet'!$B$18,Paramètres!$A$1:$I$89,5,0)</f>
        <v>211.15223999999995</v>
      </c>
      <c r="GW77" s="13">
        <f t="shared" si="105"/>
        <v>52.187298885462759</v>
      </c>
      <c r="GX77" s="20">
        <f t="shared" si="82"/>
        <v>458.64969689218088</v>
      </c>
      <c r="GY77" s="59">
        <f t="shared" si="83"/>
        <v>751.9830302255142</v>
      </c>
      <c r="GZ77" s="59">
        <f ca="1">AVERAGE(OFFSET($GY$3,0,0,'Données projet'!$E$18+1,1))-AVERAGE(OFFSET($H$3,0,0,'Données projet'!$E$18+1,1))</f>
        <v>199.58763537752952</v>
      </c>
      <c r="HA77" s="59">
        <f t="shared" si="106"/>
        <v>242.62852778451929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0</v>
      </c>
      <c r="HH77" s="21">
        <f>EXP(-LN(2)/25)*HH76+(1-EXP(-LN(2)/25))/(LN(2)/25)*Calculateur!HC77*Calculateur!HE77*VLOOKUP('Données projet'!$B$18,Paramètres!$A$1:$I$89,3,0)*0.475*44/12</f>
        <v>3.0360299370069761</v>
      </c>
      <c r="HI77" s="21">
        <f>EXP(-LN(2)/2)*HI76+(1-EXP(-LN(2)/2))/(LN(2)/2)*HC77*HF77*VLOOKUP('Données projet'!$B$18,Paramètres!$A$1:$I$89,3,0)*0.475*44/12</f>
        <v>2.5657554610300588E-6</v>
      </c>
      <c r="HJ77" s="22">
        <f t="shared" si="84"/>
        <v>3.0360325027624371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6.1</v>
      </c>
      <c r="N78" s="13">
        <f>IF('Données projet'!$A$36&gt;35,N77+M78-V77,IF(A78&lt;'Données projet'!$A$36,$K$205^A78,IF(A78='Données projet'!$A$36,'Données projet'!$B$36,N77+M78-V77)))</f>
        <v>251.50000000000017</v>
      </c>
      <c r="O78" s="13">
        <f>N78*VLOOKUP('Données projet'!$B$9,Paramètres!$A$1:$I$89,3,0)*VLOOKUP('Données projet'!$B$9,Paramètres!$A$1:$I$89,5,0)</f>
        <v>227.55720000000014</v>
      </c>
      <c r="P78" s="13">
        <f t="shared" si="87"/>
        <v>55.754163267932753</v>
      </c>
      <c r="Q78" s="20">
        <f t="shared" si="54"/>
        <v>493.43395769164982</v>
      </c>
      <c r="R78" s="59">
        <f t="shared" si="55"/>
        <v>786.76729102498314</v>
      </c>
      <c r="S78" s="59">
        <f ca="1">AVERAGE(OFFSET($R$3,0,0,'Données projet'!$E$9+1,1))-AVERAGE(OFFSET($H$3,0,0,'Données projet'!$E$9+1,1))</f>
        <v>237.22177246688199</v>
      </c>
      <c r="T78" s="59">
        <f t="shared" si="88"/>
        <v>149.27472147904302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0.89194651736541442</v>
      </c>
      <c r="AB78" s="21">
        <f>EXP(-LN(2)/2)*AB77+(1-EXP(-LN(2)/2))/(LN(2)/2)*V78*Y78*VLOOKUP('Données projet'!$B$9,Paramètres!$A$1:$I$89,3,0)*0.475*44/12</f>
        <v>1.0434460256072877E-6</v>
      </c>
      <c r="AC78" s="22">
        <f t="shared" si="57"/>
        <v>0.89194756081144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6.1</v>
      </c>
      <c r="AI78" s="13">
        <f>IF('Données projet'!$A$62&gt;35,AI77+AH78-AQ77,IF(A78&lt;'Données projet'!$A$62,$AF$205^A78,IF(A78='Données projet'!$A$62,'Données projet'!$B$62,AI77+AH78-AQ77)))</f>
        <v>251.50000000000017</v>
      </c>
      <c r="AJ78" s="13">
        <f>AI78*VLOOKUP('Données projet'!$B$10,Paramètres!$A$1:$I$89,3,0)*VLOOKUP('Données projet'!$B$10,Paramètres!$A$1:$I$89,5,0)</f>
        <v>255.02100000000019</v>
      </c>
      <c r="AK78" s="13">
        <f t="shared" si="89"/>
        <v>61.659864971325668</v>
      </c>
      <c r="AL78" s="20">
        <f t="shared" si="58"/>
        <v>551.55250649172569</v>
      </c>
      <c r="AM78" s="59">
        <f t="shared" si="59"/>
        <v>844.88583982505907</v>
      </c>
      <c r="AN78" s="59">
        <f ca="1">AVERAGE(OFFSET($AM$3,0,0,'Données projet'!$E$10+1,1))-AVERAGE(OFFSET($H$3,0,0,'Données projet'!$E$10+1,1))</f>
        <v>279.20364724206644</v>
      </c>
      <c r="AO78" s="59">
        <f t="shared" si="90"/>
        <v>173.99850582760712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0.99959523497848168</v>
      </c>
      <c r="AW78" s="21">
        <f>EXP(-LN(2)/2)*AW77+(1-EXP(-LN(2)/2))/(LN(2)/2)*AQ78*AT78*VLOOKUP('Données projet'!$B$10,Paramètres!$A$1:$I$89,3,0)*0.475*44/12</f>
        <v>1.1693791666288567E-6</v>
      </c>
      <c r="AX78" s="21">
        <f t="shared" si="60"/>
        <v>0.99959640435764829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17</v>
      </c>
      <c r="BD78" s="12">
        <f>IF('Données projet'!$A$88&gt;35,BD77+BC78-BL77,IF(A78&lt;'Données projet'!$A$88,$BA$205^A78,IF(A78='Données projet'!$A$88,'Données projet'!$B$88,BD77+BC78-BL77)))</f>
        <v>447.99999999999989</v>
      </c>
      <c r="BE78" s="13">
        <f>BD78*VLOOKUP('Données projet'!$B$11,Paramètres!$A$1:$I$89,3,0)*VLOOKUP('Données projet'!$B$11,Paramètres!$A$1:$I$89,5,0)</f>
        <v>209.66399999999993</v>
      </c>
      <c r="BF78" s="13">
        <f t="shared" si="91"/>
        <v>51.862154403304487</v>
      </c>
      <c r="BG78" s="20">
        <f t="shared" si="61"/>
        <v>455.49138558575515</v>
      </c>
      <c r="BH78" s="59">
        <f t="shared" si="62"/>
        <v>748.82471891908847</v>
      </c>
      <c r="BI78" s="59">
        <f ca="1">AVERAGE(OFFSET($BH$3,0,0,'Données projet'!$E$11+1,1))-AVERAGE(OFFSET($H$3,0,0,'Données projet'!$E$11+1,1))</f>
        <v>215.23235148064941</v>
      </c>
      <c r="BJ78" s="59">
        <f t="shared" si="92"/>
        <v>184.07239726900434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1.2857040571322707</v>
      </c>
      <c r="BQ78" s="21">
        <f>EXP(-LN(2)/25)*BQ77+(1-EXP(-LN(2)/25))/(LN(2)/25)*Calculateur!BL78*Calculateur!BN78*VLOOKUP('Données projet'!$B$11,Paramètres!$A$1:$I$89,3,0)*0.475*44/12</f>
        <v>2.2558897452924667</v>
      </c>
      <c r="BR78" s="21">
        <f>EXP(-LN(2)/2)*BR77+(1-EXP(-LN(2)/2))/(LN(2)/2)*BL78*BO78*VLOOKUP('Données projet'!$B$11,Paramètres!$A$1:$I$89,3,0)*0.475*44/12</f>
        <v>1.6575810105896418E-6</v>
      </c>
      <c r="BS78" s="22">
        <f t="shared" si="63"/>
        <v>3.5415954600057478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6.1</v>
      </c>
      <c r="BY78" s="12">
        <f>IF('Données projet'!$A$114&gt;35,BY77+BX78-CG77,IF(A78&lt;'Données projet'!$A$114,$BV$205^A78,IF(A78='Données projet'!$A$114,'Données projet'!$B$114,BY77+BX78-CG77)))</f>
        <v>251.50000000000017</v>
      </c>
      <c r="BZ78" s="13">
        <f>BY78*VLOOKUP('Données projet'!$B$12,Paramètres!$A$1:$I$89,3,0)*VLOOKUP('Données projet'!$B$12,Paramètres!$A$1:$I$89,5,0)</f>
        <v>270.71460000000019</v>
      </c>
      <c r="CA78" s="13">
        <f t="shared" si="93"/>
        <v>65.000902105600858</v>
      </c>
      <c r="CB78" s="20">
        <f t="shared" si="64"/>
        <v>584.70449950058844</v>
      </c>
      <c r="CC78" s="59">
        <f t="shared" si="65"/>
        <v>878.03783283392181</v>
      </c>
      <c r="CD78" s="59">
        <f ca="1">AVERAGE(OFFSET($CC$3,0,0,'Données projet'!$E$12+1,1))-AVERAGE(OFFSET($H$3,0,0,'Données projet'!$E$12+1,1))</f>
        <v>303.1504619632214</v>
      </c>
      <c r="CE78" s="59">
        <f t="shared" si="94"/>
        <v>188.09929616366503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1.0611087879002346</v>
      </c>
      <c r="CM78" s="21">
        <f>EXP(-LN(2)/2)*CM77+(1-EXP(-LN(2)/2))/(LN(2)/2)*CG78*CJ78*VLOOKUP('Données projet'!$B$12,Paramètres!$A$1:$I$89,3,0)*0.475*44/12</f>
        <v>1.2413409614983272E-6</v>
      </c>
      <c r="CN78" s="22">
        <f t="shared" si="66"/>
        <v>1.0611100292411961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3.1</v>
      </c>
      <c r="CT78" s="12">
        <f>IF('Données projet'!$A$140&gt;35,CT77+CS78-DB77,IF(A78&lt;'Données projet'!$A$140,$CQ$205^A78,IF(A78='Données projet'!$A$140,'Données projet'!$B$140,CT77+CS78-DB77)))</f>
        <v>268.49999999999994</v>
      </c>
      <c r="CU78" s="17">
        <f>CT78*VLOOKUP('Données projet'!$B$13,Paramètres!$A$1:$I$89,3,0)*VLOOKUP('Données projet'!$B$13,Paramètres!$A$1:$I$89,5,0)</f>
        <v>180.10979999999995</v>
      </c>
      <c r="CV78" s="13">
        <f t="shared" si="95"/>
        <v>45.346613776556069</v>
      </c>
      <c r="CW78" s="20">
        <f t="shared" si="67"/>
        <v>392.66992066083503</v>
      </c>
      <c r="CX78" s="59">
        <f t="shared" si="68"/>
        <v>686.00325399416829</v>
      </c>
      <c r="CY78" s="59">
        <f ca="1">AVERAGE(OFFSET($CX$3,0,0,'Données projet'!$E$13+1,1))-AVERAGE(OFFSET($H$3,0,0,'Données projet'!$E$13+1,1))</f>
        <v>156.63226020379989</v>
      </c>
      <c r="CZ78" s="59">
        <f t="shared" si="96"/>
        <v>196.0481096619543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2.4897923561770741</v>
      </c>
      <c r="DH78" s="21">
        <f>EXP(-LN(2)/2)*DH77+(1-EXP(-LN(2)/2))/(LN(2)/2)*DB78*DE78*VLOOKUP('Données projet'!$B$13,Paramètres!$A$1:$I$89,3,0)*0.475*44/12</f>
        <v>1.5296727974610409E-6</v>
      </c>
      <c r="DI78" s="22">
        <f t="shared" si="69"/>
        <v>2.4897938858498714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-8.5265128291212022E-14</v>
      </c>
      <c r="DP78" s="17">
        <f>DO78*VLOOKUP('Données projet'!$B$14,Paramètres!$A$1:$I$89,3,0)*VLOOKUP('Données projet'!$B$14,Paramètres!$A$1:$I$89,5,0)</f>
        <v>-7.7147888077888636E-14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225.28075317732998</v>
      </c>
      <c r="DU78" s="59">
        <f t="shared" si="98"/>
        <v>358.43407531256207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0.92022106454384589</v>
      </c>
      <c r="EB78" s="21">
        <f>EXP(-LN(2)/25)*EB77+(1-EXP(-LN(2)/25))/(LN(2)/25)*Calculateur!DW78*Calculateur!DY78*VLOOKUP('Données projet'!$B$14,Paramètres!$A$1:$I$89,3,0)*0.475*44/12</f>
        <v>2.3755244752071416</v>
      </c>
      <c r="EC78" s="21">
        <f>EXP(-LN(2)/2)*EC77+(1-EXP(-LN(2)/2))/(LN(2)/2)*DW78*DZ78*VLOOKUP('Données projet'!$B$14,Paramètres!$A$1:$I$89,3,0)*0.475*44/12</f>
        <v>7.4414831702603233E-7</v>
      </c>
      <c r="ED78" s="22">
        <f t="shared" si="72"/>
        <v>3.2957462838993048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10.4</v>
      </c>
      <c r="EJ78" s="12">
        <f>IF('Données projet'!$A$192&gt;35,EJ77+EI78-ER77,IF(A78&lt;'Données projet'!$A$192,$EG$205^A78,IF(A78='Données projet'!$A$192,'Données projet'!$B$192,EJ77+EI78-ER77)))</f>
        <v>598.99999999999955</v>
      </c>
      <c r="EK78" s="17">
        <f>EJ78*VLOOKUP('Données projet'!$B$15,Paramètres!$A$1:$I$89,3,0)*VLOOKUP('Données projet'!$B$15,Paramètres!$A$1:$I$89,5,0)</f>
        <v>334.84099999999978</v>
      </c>
      <c r="EL78" s="13">
        <f t="shared" si="99"/>
        <v>78.433117720461652</v>
      </c>
      <c r="EM78" s="20">
        <f t="shared" si="73"/>
        <v>719.78575502980368</v>
      </c>
      <c r="EN78" s="59">
        <f t="shared" si="74"/>
        <v>1013.1190883631371</v>
      </c>
      <c r="EO78" s="59">
        <f ca="1">AVERAGE(OFFSET($EN$3,0,0,'Données projet'!$E$15+1,1))-AVERAGE(OFFSET($H$3,0,0,'Données projet'!$E$15+1,1))</f>
        <v>326.31232746914907</v>
      </c>
      <c r="EP78" s="59">
        <f t="shared" si="100"/>
        <v>330.17137761430297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1.8736234383772152</v>
      </c>
      <c r="EW78" s="21">
        <f>EXP(-LN(2)/25)*EW77+(1-EXP(-LN(2)/25))/(LN(2)/25)*Calculateur!ER78*Calculateur!ET78*VLOOKUP('Données projet'!$B$15,Paramètres!$A$1:$I$89,3,0)*0.475*44/12</f>
        <v>8.6649040103694031</v>
      </c>
      <c r="EX78" s="21">
        <f>EXP(-LN(2)/2)*EX77+(1-EXP(-LN(2)/2))/(LN(2)/2)*ER78*EU78*VLOOKUP('Données projet'!$B$15,Paramètres!$A$1:$I$89,3,0)*0.475*44/12</f>
        <v>5.4828141272265707E-6</v>
      </c>
      <c r="EY78" s="22">
        <f t="shared" si="75"/>
        <v>10.538532931560747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6</v>
      </c>
      <c r="FE78" s="12">
        <f>IF('Données projet'!$A$218&gt;35,FE77+FD78-FM77,IF(A78&lt;'Données projet'!$A$218,$FB$205^A78,IF(A78='Données projet'!$A$218,'Données projet'!$B$218,FE77+FD78-FM77)))</f>
        <v>412</v>
      </c>
      <c r="FF78" s="17">
        <f>FE78*VLOOKUP('Données projet'!$B$16,Paramètres!$A$1:$I$89,3,0)*VLOOKUP('Données projet'!$B$16,Paramètres!$A$1:$I$89,5,0)</f>
        <v>257.08800000000002</v>
      </c>
      <c r="FG78" s="13">
        <f t="shared" si="101"/>
        <v>62.101250925713771</v>
      </c>
      <c r="FH78" s="20">
        <f t="shared" si="76"/>
        <v>555.92127869561818</v>
      </c>
      <c r="FI78" s="59">
        <f t="shared" si="77"/>
        <v>849.25461202895144</v>
      </c>
      <c r="FJ78" s="59">
        <f ca="1">AVERAGE(OFFSET($FI$3,0,0,'Données projet'!$E$16+1,1))-AVERAGE(OFFSET($H$3,0,0,'Données projet'!$E$16+1,1))</f>
        <v>255.41017495879987</v>
      </c>
      <c r="FK78" s="59">
        <f t="shared" si="102"/>
        <v>297.50513563712764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3.4224326654501338</v>
      </c>
      <c r="FR78" s="21">
        <f>EXP(-LN(2)/25)*FR77+(1-EXP(-LN(2)/25))/(LN(2)/25)*Calculateur!FM78*Calculateur!FO78*VLOOKUP('Données projet'!$B$16,Paramètres!$A$1:$I$89,3,0)*0.475*44/12</f>
        <v>8.0035177980751246</v>
      </c>
      <c r="FS78" s="21">
        <f>EXP(-LN(2)/2)*FS77+(1-EXP(-LN(2)/2))/(LN(2)/2)*FM78*FP78*VLOOKUP('Données projet'!$B$16,Paramètres!$A$1:$I$89,3,0)*0.475*44/12</f>
        <v>4.1137332253311804E-6</v>
      </c>
      <c r="FT78" s="22">
        <f t="shared" si="78"/>
        <v>11.425954577258484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8.1999999999999993</v>
      </c>
      <c r="FZ78" s="12">
        <f>IF('Données projet'!$A$244&gt;35,FZ77+FY78-GH77,IF(A78&lt;'Données projet'!$A$244,$FW$205^A78,IF(A78='Données projet'!$A$244,'Données projet'!$B$244,FZ77+FY78-GH77)))</f>
        <v>481.00000000000011</v>
      </c>
      <c r="GA78" s="17">
        <f>FZ78*VLOOKUP('Données projet'!$B$17,Paramètres!$A$1:$I$89,3,0)*VLOOKUP('Données projet'!$B$17,Paramètres!$A$1:$I$89,5,0)</f>
        <v>287.63800000000009</v>
      </c>
      <c r="GB78" s="13">
        <f t="shared" si="103"/>
        <v>68.578600880282579</v>
      </c>
      <c r="GC78" s="20">
        <f t="shared" si="79"/>
        <v>620.4105798664923</v>
      </c>
      <c r="GD78" s="59">
        <f t="shared" si="80"/>
        <v>913.74391319982556</v>
      </c>
      <c r="GE78" s="59">
        <f ca="1">AVERAGE(OFFSET($GD$3,0,0,'Données projet'!$E$17+1,1))-AVERAGE(OFFSET($H$3,0,0,'Données projet'!$E$17+1,1))</f>
        <v>259.30247982593914</v>
      </c>
      <c r="GF78" s="59">
        <f t="shared" si="104"/>
        <v>275.24740346220779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</v>
      </c>
      <c r="GM78" s="21">
        <f>EXP(-LN(2)/25)*GM77+(1-EXP(-LN(2)/25))/(LN(2)/25)*Calculateur!GH78*Calculateur!GJ78*VLOOKUP('Données projet'!$B$17,Paramètres!$A$1:$I$89,3,0)*0.475*44/12</f>
        <v>5.1786231013740078</v>
      </c>
      <c r="GN78" s="21">
        <f>EXP(-LN(2)/2)*GN77+(1-EXP(-LN(2)/2))/(LN(2)/2)*GH78*GK78*VLOOKUP('Données projet'!$B$17,Paramètres!$A$1:$I$89,3,0)*0.475*44/12</f>
        <v>4.8351657279051163E-6</v>
      </c>
      <c r="GO78" s="21">
        <f t="shared" si="81"/>
        <v>5.1786279365397361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3.1</v>
      </c>
      <c r="GU78" s="12">
        <f>IF('Données projet'!$A$270&gt;35,GU77+GT78-HC77,IF(A78&lt;'Données projet'!$A$270,$GR$205^A78,IF(A78='Données projet'!$A$270,'Données projet'!$B$270,GU77+GT78-HC77)))</f>
        <v>268.49999999999994</v>
      </c>
      <c r="GV78" s="17">
        <f>GU78*VLOOKUP('Données projet'!$B$18,Paramètres!$A$1:$I$89,3,0)*VLOOKUP('Données projet'!$B$18,Paramètres!$A$1:$I$89,5,0)</f>
        <v>213.61859999999996</v>
      </c>
      <c r="GW78" s="13">
        <f t="shared" si="105"/>
        <v>52.725552856326011</v>
      </c>
      <c r="GX78" s="20">
        <f t="shared" si="82"/>
        <v>463.88273289143444</v>
      </c>
      <c r="GY78" s="59">
        <f t="shared" si="83"/>
        <v>757.2160662247677</v>
      </c>
      <c r="GZ78" s="59">
        <f ca="1">AVERAGE(OFFSET($GY$3,0,0,'Données projet'!$E$18+1,1))-AVERAGE(OFFSET($H$3,0,0,'Données projet'!$E$18+1,1))</f>
        <v>199.58763537752952</v>
      </c>
      <c r="HA78" s="59">
        <f t="shared" si="106"/>
        <v>242.62852778451929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0</v>
      </c>
      <c r="HH78" s="21">
        <f>EXP(-LN(2)/25)*HH77+(1-EXP(-LN(2)/25))/(LN(2)/25)*Calculateur!HC78*Calculateur!HE78*VLOOKUP('Données projet'!$B$18,Paramètres!$A$1:$I$89,3,0)*0.475*44/12</f>
        <v>2.9530095387216448</v>
      </c>
      <c r="HI78" s="21">
        <f>EXP(-LN(2)/2)*HI77+(1-EXP(-LN(2)/2))/(LN(2)/2)*HC78*HF78*VLOOKUP('Données projet'!$B$18,Paramètres!$A$1:$I$89,3,0)*0.475*44/12</f>
        <v>1.8142630853607712E-6</v>
      </c>
      <c r="HJ78" s="22">
        <f t="shared" si="84"/>
        <v>2.9530113529847304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6.1</v>
      </c>
      <c r="N79" s="13">
        <f>IF('Données projet'!$A$36&gt;35,N78+M79-V78,IF(A79&lt;'Données projet'!$A$36,$K$205^A79,IF(A79='Données projet'!$A$36,'Données projet'!$B$36,N78+M79-V78)))</f>
        <v>257.60000000000019</v>
      </c>
      <c r="O79" s="13">
        <f>N79*VLOOKUP('Données projet'!$B$9,Paramètres!$A$1:$I$89,3,0)*VLOOKUP('Données projet'!$B$9,Paramètres!$A$1:$I$89,5,0)</f>
        <v>233.07648000000017</v>
      </c>
      <c r="P79" s="13">
        <f t="shared" si="87"/>
        <v>56.947373142454929</v>
      </c>
      <c r="Q79" s="20">
        <f t="shared" si="54"/>
        <v>505.12487755644264</v>
      </c>
      <c r="R79" s="59">
        <f t="shared" si="55"/>
        <v>798.45821088977596</v>
      </c>
      <c r="S79" s="59">
        <f ca="1">AVERAGE(OFFSET($R$3,0,0,'Données projet'!$E$9+1,1))-AVERAGE(OFFSET($H$3,0,0,'Données projet'!$E$9+1,1))</f>
        <v>237.22177246688199</v>
      </c>
      <c r="T79" s="59">
        <f t="shared" si="88"/>
        <v>149.27472147904302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0.86755619294262842</v>
      </c>
      <c r="AB79" s="21">
        <f>EXP(-LN(2)/2)*AB78+(1-EXP(-LN(2)/2))/(LN(2)/2)*V79*Y79*VLOOKUP('Données projet'!$B$9,Paramètres!$A$1:$I$89,3,0)*0.475*44/12</f>
        <v>7.3782776050906506E-7</v>
      </c>
      <c r="AC79" s="22">
        <f t="shared" si="57"/>
        <v>0.86755693077038898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6.1</v>
      </c>
      <c r="AI79" s="13">
        <f>IF('Données projet'!$A$62&gt;35,AI78+AH79-AQ78,IF(A79&lt;'Données projet'!$A$62,$AF$205^A79,IF(A79='Données projet'!$A$62,'Données projet'!$B$62,AI78+AH79-AQ78)))</f>
        <v>257.60000000000019</v>
      </c>
      <c r="AJ79" s="13">
        <f>AI79*VLOOKUP('Données projet'!$B$10,Paramètres!$A$1:$I$89,3,0)*VLOOKUP('Données projet'!$B$10,Paramètres!$A$1:$I$89,5,0)</f>
        <v>261.2064000000002</v>
      </c>
      <c r="AK79" s="13">
        <f t="shared" si="89"/>
        <v>62.979464359660597</v>
      </c>
      <c r="AL79" s="20">
        <f t="shared" si="58"/>
        <v>564.6237137597426</v>
      </c>
      <c r="AM79" s="59">
        <f t="shared" si="59"/>
        <v>857.95704709307597</v>
      </c>
      <c r="AN79" s="59">
        <f ca="1">AVERAGE(OFFSET($AM$3,0,0,'Données projet'!$E$10+1,1))-AVERAGE(OFFSET($H$3,0,0,'Données projet'!$E$10+1,1))</f>
        <v>279.20364724206644</v>
      </c>
      <c r="AO79" s="59">
        <f t="shared" si="90"/>
        <v>173.99850582760712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0.97226125071156633</v>
      </c>
      <c r="AW79" s="21">
        <f>EXP(-LN(2)/2)*AW78+(1-EXP(-LN(2)/2))/(LN(2)/2)*AQ79*AT79*VLOOKUP('Données projet'!$B$10,Paramètres!$A$1:$I$89,3,0)*0.475*44/12</f>
        <v>8.2687593850153831E-7</v>
      </c>
      <c r="AX79" s="21">
        <f t="shared" si="60"/>
        <v>0.97226207758750482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17</v>
      </c>
      <c r="BD79" s="12">
        <f>IF('Données projet'!$A$88&gt;35,BD78+BC79-BL78,IF(A79&lt;'Données projet'!$A$88,$BA$205^A79,IF(A79='Données projet'!$A$88,'Données projet'!$B$88,BD78+BC79-BL78)))</f>
        <v>464.99999999999989</v>
      </c>
      <c r="BE79" s="13">
        <f>BD79*VLOOKUP('Données projet'!$B$11,Paramètres!$A$1:$I$89,3,0)*VLOOKUP('Données projet'!$B$11,Paramètres!$A$1:$I$89,5,0)</f>
        <v>217.61999999999995</v>
      </c>
      <c r="BF79" s="13">
        <f t="shared" si="91"/>
        <v>53.597277471320098</v>
      </c>
      <c r="BG79" s="20">
        <f t="shared" si="61"/>
        <v>472.37009159588234</v>
      </c>
      <c r="BH79" s="59">
        <f t="shared" si="62"/>
        <v>765.70342492921566</v>
      </c>
      <c r="BI79" s="59">
        <f ca="1">AVERAGE(OFFSET($BH$3,0,0,'Données projet'!$E$11+1,1))-AVERAGE(OFFSET($H$3,0,0,'Données projet'!$E$11+1,1))</f>
        <v>215.23235148064941</v>
      </c>
      <c r="BJ79" s="59">
        <f t="shared" si="92"/>
        <v>184.07239726900434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1.2604921847739481</v>
      </c>
      <c r="BQ79" s="21">
        <f>EXP(-LN(2)/25)*BQ78+(1-EXP(-LN(2)/25))/(LN(2)/25)*Calculateur!BL79*Calculateur!BN79*VLOOKUP('Données projet'!$B$11,Paramètres!$A$1:$I$89,3,0)*0.475*44/12</f>
        <v>2.1942023215753585</v>
      </c>
      <c r="BR79" s="21">
        <f>EXP(-LN(2)/2)*BR78+(1-EXP(-LN(2)/2))/(LN(2)/2)*BL79*BO79*VLOOKUP('Données projet'!$B$11,Paramètres!$A$1:$I$89,3,0)*0.475*44/12</f>
        <v>1.1720867729539862E-6</v>
      </c>
      <c r="BS79" s="22">
        <f t="shared" si="63"/>
        <v>3.4546956784360794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6.1</v>
      </c>
      <c r="BY79" s="12">
        <f>IF('Données projet'!$A$114&gt;35,BY78+BX79-CG78,IF(A79&lt;'Données projet'!$A$114,$BV$205^A79,IF(A79='Données projet'!$A$114,'Données projet'!$B$114,BY78+BX79-CG78)))</f>
        <v>257.60000000000019</v>
      </c>
      <c r="BZ79" s="13">
        <f>BY79*VLOOKUP('Données projet'!$B$12,Paramètres!$A$1:$I$89,3,0)*VLOOKUP('Données projet'!$B$12,Paramètres!$A$1:$I$89,5,0)</f>
        <v>277.28064000000018</v>
      </c>
      <c r="CA79" s="13">
        <f t="shared" si="93"/>
        <v>66.39200393009655</v>
      </c>
      <c r="CB79" s="20">
        <f t="shared" si="64"/>
        <v>598.56318817825183</v>
      </c>
      <c r="CC79" s="59">
        <f t="shared" si="65"/>
        <v>891.89652151158521</v>
      </c>
      <c r="CD79" s="59">
        <f ca="1">AVERAGE(OFFSET($CC$3,0,0,'Données projet'!$E$12+1,1))-AVERAGE(OFFSET($H$3,0,0,'Données projet'!$E$12+1,1))</f>
        <v>303.1504619632214</v>
      </c>
      <c r="CE79" s="59">
        <f t="shared" si="94"/>
        <v>188.09929616366503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1.0320927122938166</v>
      </c>
      <c r="CM79" s="21">
        <f>EXP(-LN(2)/2)*CM78+(1-EXP(-LN(2)/2))/(LN(2)/2)*CG79*CJ79*VLOOKUP('Données projet'!$B$12,Paramètres!$A$1:$I$89,3,0)*0.475*44/12</f>
        <v>8.7776061164009617E-7</v>
      </c>
      <c r="CN79" s="22">
        <f t="shared" si="66"/>
        <v>1.0320935900544284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3.1</v>
      </c>
      <c r="CT79" s="12">
        <f>IF('Données projet'!$A$140&gt;35,CT78+CS79-DB78,IF(A79&lt;'Données projet'!$A$140,$CQ$205^A79,IF(A79='Données projet'!$A$140,'Données projet'!$B$140,CT78+CS79-DB78)))</f>
        <v>271.59999999999997</v>
      </c>
      <c r="CU79" s="17">
        <f>CT79*VLOOKUP('Données projet'!$B$13,Paramètres!$A$1:$I$89,3,0)*VLOOKUP('Données projet'!$B$13,Paramètres!$A$1:$I$89,5,0)</f>
        <v>182.18927999999997</v>
      </c>
      <c r="CV79" s="13">
        <f t="shared" si="95"/>
        <v>45.808917398007317</v>
      </c>
      <c r="CW79" s="20">
        <f t="shared" si="67"/>
        <v>397.09686046819598</v>
      </c>
      <c r="CX79" s="59">
        <f t="shared" si="68"/>
        <v>690.4301938015293</v>
      </c>
      <c r="CY79" s="59">
        <f ca="1">AVERAGE(OFFSET($CX$3,0,0,'Données projet'!$E$13+1,1))-AVERAGE(OFFSET($H$3,0,0,'Données projet'!$E$13+1,1))</f>
        <v>156.63226020379989</v>
      </c>
      <c r="CZ79" s="59">
        <f t="shared" si="96"/>
        <v>196.0481096619543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2.4217088532649225</v>
      </c>
      <c r="DH79" s="21">
        <f>EXP(-LN(2)/2)*DH78+(1-EXP(-LN(2)/2))/(LN(2)/2)*DB79*DE79*VLOOKUP('Données projet'!$B$13,Paramètres!$A$1:$I$89,3,0)*0.475*44/12</f>
        <v>1.0816420080812983E-6</v>
      </c>
      <c r="DI79" s="22">
        <f t="shared" si="69"/>
        <v>2.4217099349069304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-8.5265128291212022E-14</v>
      </c>
      <c r="DP79" s="17">
        <f>DO79*VLOOKUP('Données projet'!$B$14,Paramètres!$A$1:$I$89,3,0)*VLOOKUP('Données projet'!$B$14,Paramètres!$A$1:$I$89,5,0)</f>
        <v>-7.7147888077888636E-14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225.28075317732998</v>
      </c>
      <c r="DU79" s="59">
        <f t="shared" si="98"/>
        <v>358.43407531256207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0.90217609074756866</v>
      </c>
      <c r="EB79" s="21">
        <f>EXP(-LN(2)/25)*EB78+(1-EXP(-LN(2)/25))/(LN(2)/25)*Calculateur!DW79*Calculateur!DY79*VLOOKUP('Données projet'!$B$14,Paramètres!$A$1:$I$89,3,0)*0.475*44/12</f>
        <v>2.3105656335091993</v>
      </c>
      <c r="EC79" s="21">
        <f>EXP(-LN(2)/2)*EC78+(1-EXP(-LN(2)/2))/(LN(2)/2)*DW79*DZ79*VLOOKUP('Données projet'!$B$14,Paramètres!$A$1:$I$89,3,0)*0.475*44/12</f>
        <v>5.2619232117766424E-7</v>
      </c>
      <c r="ED79" s="22">
        <f t="shared" si="72"/>
        <v>3.212742250449089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10.4</v>
      </c>
      <c r="EJ79" s="12">
        <f>IF('Données projet'!$A$192&gt;35,EJ78+EI79-ER78,IF(A79&lt;'Données projet'!$A$192,$EG$205^A79,IF(A79='Données projet'!$A$192,'Données projet'!$B$192,EJ78+EI79-ER78)))</f>
        <v>609.39999999999952</v>
      </c>
      <c r="EK79" s="17">
        <f>EJ79*VLOOKUP('Données projet'!$B$15,Paramètres!$A$1:$I$89,3,0)*VLOOKUP('Données projet'!$B$15,Paramètres!$A$1:$I$89,5,0)</f>
        <v>340.65459999999973</v>
      </c>
      <c r="EL79" s="13">
        <f t="shared" si="99"/>
        <v>79.635175782709197</v>
      </c>
      <c r="EM79" s="20">
        <f t="shared" si="73"/>
        <v>732.00469282155143</v>
      </c>
      <c r="EN79" s="59">
        <f t="shared" si="74"/>
        <v>1025.3380261548848</v>
      </c>
      <c r="EO79" s="59">
        <f ca="1">AVERAGE(OFFSET($EN$3,0,0,'Données projet'!$E$15+1,1))-AVERAGE(OFFSET($H$3,0,0,'Données projet'!$E$15+1,1))</f>
        <v>326.31232746914907</v>
      </c>
      <c r="EP79" s="59">
        <f t="shared" si="100"/>
        <v>330.17137761430297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1.8368828255480936</v>
      </c>
      <c r="EW79" s="21">
        <f>EXP(-LN(2)/25)*EW78+(1-EXP(-LN(2)/25))/(LN(2)/25)*Calculateur!ER79*Calculateur!ET79*VLOOKUP('Données projet'!$B$15,Paramètres!$A$1:$I$89,3,0)*0.475*44/12</f>
        <v>8.4279617545383534</v>
      </c>
      <c r="EX79" s="21">
        <f>EXP(-LN(2)/2)*EX78+(1-EXP(-LN(2)/2))/(LN(2)/2)*ER79*EU79*VLOOKUP('Données projet'!$B$15,Paramètres!$A$1:$I$89,3,0)*0.475*44/12</f>
        <v>3.8769350493473103E-6</v>
      </c>
      <c r="EY79" s="22">
        <f t="shared" si="75"/>
        <v>10.264848457021495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6</v>
      </c>
      <c r="FE79" s="12">
        <f>IF('Données projet'!$A$218&gt;35,FE78+FD79-FM78,IF(A79&lt;'Données projet'!$A$218,$FB$205^A79,IF(A79='Données projet'!$A$218,'Données projet'!$B$218,FE78+FD79-FM78)))</f>
        <v>418</v>
      </c>
      <c r="FF79" s="17">
        <f>FE79*VLOOKUP('Données projet'!$B$16,Paramètres!$A$1:$I$89,3,0)*VLOOKUP('Données projet'!$B$16,Paramètres!$A$1:$I$89,5,0)</f>
        <v>260.83199999999999</v>
      </c>
      <c r="FG79" s="13">
        <f t="shared" si="101"/>
        <v>62.899693744110721</v>
      </c>
      <c r="FH79" s="20">
        <f t="shared" si="76"/>
        <v>563.83269993765953</v>
      </c>
      <c r="FI79" s="59">
        <f t="shared" si="77"/>
        <v>857.16603327099278</v>
      </c>
      <c r="FJ79" s="59">
        <f ca="1">AVERAGE(OFFSET($FI$3,0,0,'Données projet'!$E$16+1,1))-AVERAGE(OFFSET($H$3,0,0,'Données projet'!$E$16+1,1))</f>
        <v>255.41017495879987</v>
      </c>
      <c r="FK79" s="59">
        <f t="shared" si="102"/>
        <v>297.50513563712764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3.3553208483584611</v>
      </c>
      <c r="FR79" s="21">
        <f>EXP(-LN(2)/25)*FR78+(1-EXP(-LN(2)/25))/(LN(2)/25)*Calculateur!FM79*Calculateur!FO79*VLOOKUP('Données projet'!$B$16,Paramètres!$A$1:$I$89,3,0)*0.475*44/12</f>
        <v>7.7846611830000514</v>
      </c>
      <c r="FS79" s="21">
        <f>EXP(-LN(2)/2)*FS78+(1-EXP(-LN(2)/2))/(LN(2)/2)*FM79*FP79*VLOOKUP('Données projet'!$B$16,Paramètres!$A$1:$I$89,3,0)*0.475*44/12</f>
        <v>2.9088486596240854E-6</v>
      </c>
      <c r="FT79" s="22">
        <f t="shared" si="78"/>
        <v>11.139984940207171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8.1999999999999993</v>
      </c>
      <c r="FZ79" s="12">
        <f>IF('Données projet'!$A$244&gt;35,FZ78+FY79-GH78,IF(A79&lt;'Données projet'!$A$244,$FW$205^A79,IF(A79='Données projet'!$A$244,'Données projet'!$B$244,FZ78+FY79-GH78)))</f>
        <v>489.2000000000001</v>
      </c>
      <c r="GA79" s="17">
        <f>FZ79*VLOOKUP('Données projet'!$B$17,Paramètres!$A$1:$I$89,3,0)*VLOOKUP('Données projet'!$B$17,Paramètres!$A$1:$I$89,5,0)</f>
        <v>292.54160000000007</v>
      </c>
      <c r="GB79" s="13">
        <f t="shared" si="103"/>
        <v>69.610612773315694</v>
      </c>
      <c r="GC79" s="20">
        <f t="shared" si="79"/>
        <v>630.74843724685832</v>
      </c>
      <c r="GD79" s="59">
        <f t="shared" si="80"/>
        <v>924.08177058019169</v>
      </c>
      <c r="GE79" s="59">
        <f ca="1">AVERAGE(OFFSET($GD$3,0,0,'Données projet'!$E$17+1,1))-AVERAGE(OFFSET($H$3,0,0,'Données projet'!$E$17+1,1))</f>
        <v>259.30247982593914</v>
      </c>
      <c r="GF79" s="59">
        <f t="shared" si="104"/>
        <v>275.24740346220779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</v>
      </c>
      <c r="GM79" s="21">
        <f>EXP(-LN(2)/25)*GM78+(1-EXP(-LN(2)/25))/(LN(2)/25)*Calculateur!GH79*Calculateur!GJ79*VLOOKUP('Données projet'!$B$17,Paramètres!$A$1:$I$89,3,0)*0.475*44/12</f>
        <v>5.037013380334983</v>
      </c>
      <c r="GN79" s="21">
        <f>EXP(-LN(2)/2)*GN78+(1-EXP(-LN(2)/2))/(LN(2)/2)*GH79*GK79*VLOOKUP('Données projet'!$B$17,Paramètres!$A$1:$I$89,3,0)*0.475*44/12</f>
        <v>3.4189784743624969E-6</v>
      </c>
      <c r="GO79" s="21">
        <f t="shared" si="81"/>
        <v>5.0370167993134576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3.1</v>
      </c>
      <c r="GU79" s="12">
        <f>IF('Données projet'!$A$270&gt;35,GU78+GT79-HC78,IF(A79&lt;'Données projet'!$A$270,$GR$205^A79,IF(A79='Données projet'!$A$270,'Données projet'!$B$270,GU78+GT79-HC78)))</f>
        <v>271.59999999999997</v>
      </c>
      <c r="GV79" s="17">
        <f>GU79*VLOOKUP('Données projet'!$B$18,Paramètres!$A$1:$I$89,3,0)*VLOOKUP('Données projet'!$B$18,Paramètres!$A$1:$I$89,5,0)</f>
        <v>216.08496</v>
      </c>
      <c r="GW79" s="13">
        <f t="shared" si="105"/>
        <v>53.26308393083157</v>
      </c>
      <c r="GX79" s="20">
        <f t="shared" si="82"/>
        <v>469.11450984619825</v>
      </c>
      <c r="GY79" s="59">
        <f t="shared" si="83"/>
        <v>762.44784317953156</v>
      </c>
      <c r="GZ79" s="59">
        <f ca="1">AVERAGE(OFFSET($GY$3,0,0,'Données projet'!$E$18+1,1))-AVERAGE(OFFSET($H$3,0,0,'Données projet'!$E$18+1,1))</f>
        <v>199.58763537752952</v>
      </c>
      <c r="HA79" s="59">
        <f t="shared" si="106"/>
        <v>242.62852778451929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0</v>
      </c>
      <c r="HH79" s="21">
        <f>EXP(-LN(2)/25)*HH78+(1-EXP(-LN(2)/25))/(LN(2)/25)*Calculateur!HC79*Calculateur!HE79*VLOOKUP('Données projet'!$B$18,Paramètres!$A$1:$I$89,3,0)*0.475*44/12</f>
        <v>2.8722593375932792</v>
      </c>
      <c r="HI79" s="21">
        <f>EXP(-LN(2)/2)*HI78+(1-EXP(-LN(2)/2))/(LN(2)/2)*HC79*HF79*VLOOKUP('Données projet'!$B$18,Paramètres!$A$1:$I$89,3,0)*0.475*44/12</f>
        <v>1.2828777305150294E-6</v>
      </c>
      <c r="HJ79" s="22">
        <f t="shared" si="84"/>
        <v>2.8722606204710099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6.1</v>
      </c>
      <c r="N80" s="13">
        <f>IF('Données projet'!$A$36&gt;35,N79+M80-V79,IF(A80&lt;'Données projet'!$A$36,$K$205^A80,IF(A80='Données projet'!$A$36,'Données projet'!$B$36,N79+M80-V79)))</f>
        <v>263.70000000000022</v>
      </c>
      <c r="O80" s="13">
        <f>N80*VLOOKUP('Données projet'!$B$9,Paramètres!$A$1:$I$89,3,0)*VLOOKUP('Données projet'!$B$9,Paramètres!$A$1:$I$89,5,0)</f>
        <v>238.59576000000018</v>
      </c>
      <c r="P80" s="13">
        <f t="shared" si="87"/>
        <v>58.137298297430824</v>
      </c>
      <c r="Q80" s="20">
        <f t="shared" si="54"/>
        <v>516.81007653469237</v>
      </c>
      <c r="R80" s="59">
        <f t="shared" si="55"/>
        <v>810.14340986802563</v>
      </c>
      <c r="S80" s="59">
        <f ca="1">AVERAGE(OFFSET($R$3,0,0,'Données projet'!$E$9+1,1))-AVERAGE(OFFSET($H$3,0,0,'Données projet'!$E$9+1,1))</f>
        <v>237.22177246688199</v>
      </c>
      <c r="T80" s="59">
        <f t="shared" si="88"/>
        <v>149.27472147904302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0.84383282322381492</v>
      </c>
      <c r="AB80" s="21">
        <f>EXP(-LN(2)/2)*AB79+(1-EXP(-LN(2)/2))/(LN(2)/2)*V80*Y80*VLOOKUP('Données projet'!$B$9,Paramètres!$A$1:$I$89,3,0)*0.475*44/12</f>
        <v>5.2172301280364385E-7</v>
      </c>
      <c r="AC80" s="22">
        <f t="shared" si="57"/>
        <v>0.84383334494682771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6.1</v>
      </c>
      <c r="AI80" s="13">
        <f>IF('Données projet'!$A$62&gt;35,AI79+AH80-AQ79,IF(A80&lt;'Données projet'!$A$62,$AF$205^A80,IF(A80='Données projet'!$A$62,'Données projet'!$B$62,AI79+AH80-AQ79)))</f>
        <v>263.70000000000022</v>
      </c>
      <c r="AJ80" s="13">
        <f>AI80*VLOOKUP('Données projet'!$B$10,Paramètres!$A$1:$I$89,3,0)*VLOOKUP('Données projet'!$B$10,Paramètres!$A$1:$I$89,5,0)</f>
        <v>267.39180000000022</v>
      </c>
      <c r="AK80" s="13">
        <f t="shared" si="89"/>
        <v>64.29543109795074</v>
      </c>
      <c r="AL80" s="20">
        <f t="shared" si="58"/>
        <v>577.68859416226462</v>
      </c>
      <c r="AM80" s="59">
        <f t="shared" si="59"/>
        <v>871.02192749559799</v>
      </c>
      <c r="AN80" s="59">
        <f ca="1">AVERAGE(OFFSET($AM$3,0,0,'Données projet'!$E$10+1,1))-AVERAGE(OFFSET($H$3,0,0,'Données projet'!$E$10+1,1))</f>
        <v>279.20364724206644</v>
      </c>
      <c r="AO80" s="59">
        <f t="shared" si="90"/>
        <v>173.99850582760712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0.94567471568186146</v>
      </c>
      <c r="AW80" s="21">
        <f>EXP(-LN(2)/2)*AW79+(1-EXP(-LN(2)/2))/(LN(2)/2)*AQ80*AT80*VLOOKUP('Données projet'!$B$10,Paramètres!$A$1:$I$89,3,0)*0.475*44/12</f>
        <v>5.8468958331442837E-7</v>
      </c>
      <c r="AX80" s="21">
        <f t="shared" si="60"/>
        <v>0.94567530037144476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17</v>
      </c>
      <c r="BD80" s="12">
        <f>IF('Données projet'!$A$88&gt;35,BD79+BC80-BL79,IF(A80&lt;'Données projet'!$A$88,$BA$205^A80,IF(A80='Données projet'!$A$88,'Données projet'!$B$88,BD79+BC80-BL79)))</f>
        <v>481.99999999999989</v>
      </c>
      <c r="BE80" s="13">
        <f>BD80*VLOOKUP('Données projet'!$B$11,Paramètres!$A$1:$I$89,3,0)*VLOOKUP('Données projet'!$B$11,Paramètres!$A$1:$I$89,5,0)</f>
        <v>225.57599999999994</v>
      </c>
      <c r="BF80" s="13">
        <f t="shared" si="91"/>
        <v>55.325030705505945</v>
      </c>
      <c r="BG80" s="20">
        <f t="shared" si="61"/>
        <v>489.23596181208933</v>
      </c>
      <c r="BH80" s="59">
        <f t="shared" si="62"/>
        <v>782.56929514542264</v>
      </c>
      <c r="BI80" s="59">
        <f ca="1">AVERAGE(OFFSET($BH$3,0,0,'Données projet'!$E$11+1,1))-AVERAGE(OFFSET($H$3,0,0,'Données projet'!$E$11+1,1))</f>
        <v>215.23235148064941</v>
      </c>
      <c r="BJ80" s="59">
        <f t="shared" si="92"/>
        <v>184.07239726900434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1.2357747018548486</v>
      </c>
      <c r="BQ80" s="21">
        <f>EXP(-LN(2)/25)*BQ79+(1-EXP(-LN(2)/25))/(LN(2)/25)*Calculateur!BL80*Calculateur!BN80*VLOOKUP('Données projet'!$B$11,Paramètres!$A$1:$I$89,3,0)*0.475*44/12</f>
        <v>2.134201743703795</v>
      </c>
      <c r="BR80" s="21">
        <f>EXP(-LN(2)/2)*BR79+(1-EXP(-LN(2)/2))/(LN(2)/2)*BL80*BO80*VLOOKUP('Données projet'!$B$11,Paramètres!$A$1:$I$89,3,0)*0.475*44/12</f>
        <v>8.2879050529482091E-7</v>
      </c>
      <c r="BS80" s="22">
        <f t="shared" si="63"/>
        <v>3.3699772743491487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6.1</v>
      </c>
      <c r="BY80" s="12">
        <f>IF('Données projet'!$A$114&gt;35,BY79+BX80-CG79,IF(A80&lt;'Données projet'!$A$114,$BV$205^A80,IF(A80='Données projet'!$A$114,'Données projet'!$B$114,BY79+BX80-CG79)))</f>
        <v>263.70000000000022</v>
      </c>
      <c r="BZ80" s="13">
        <f>BY80*VLOOKUP('Données projet'!$B$12,Paramètres!$A$1:$I$89,3,0)*VLOOKUP('Données projet'!$B$12,Paramètres!$A$1:$I$89,5,0)</f>
        <v>283.84668000000022</v>
      </c>
      <c r="CA80" s="13">
        <f t="shared" si="93"/>
        <v>67.779276269560924</v>
      </c>
      <c r="CB80" s="20">
        <f t="shared" si="64"/>
        <v>612.4152071694856</v>
      </c>
      <c r="CC80" s="59">
        <f t="shared" si="65"/>
        <v>905.74854050281897</v>
      </c>
      <c r="CD80" s="59">
        <f ca="1">AVERAGE(OFFSET($CC$3,0,0,'Données projet'!$E$12+1,1))-AVERAGE(OFFSET($H$3,0,0,'Données projet'!$E$12+1,1))</f>
        <v>303.1504619632214</v>
      </c>
      <c r="CE80" s="59">
        <f t="shared" si="94"/>
        <v>188.09929616366503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1.0038700828007454</v>
      </c>
      <c r="CM80" s="21">
        <f>EXP(-LN(2)/2)*CM79+(1-EXP(-LN(2)/2))/(LN(2)/2)*CG80*CJ80*VLOOKUP('Données projet'!$B$12,Paramètres!$A$1:$I$89,3,0)*0.475*44/12</f>
        <v>6.2067048074916359E-7</v>
      </c>
      <c r="CN80" s="22">
        <f t="shared" si="66"/>
        <v>1.0038707034712262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3.1</v>
      </c>
      <c r="CT80" s="12">
        <f>IF('Données projet'!$A$140&gt;35,CT79+CS80-DB79,IF(A80&lt;'Données projet'!$A$140,$CQ$205^A80,IF(A80='Données projet'!$A$140,'Données projet'!$B$140,CT79+CS80-DB79)))</f>
        <v>274.7</v>
      </c>
      <c r="CU80" s="17">
        <f>CT80*VLOOKUP('Données projet'!$B$13,Paramètres!$A$1:$I$89,3,0)*VLOOKUP('Données projet'!$B$13,Paramètres!$A$1:$I$89,5,0)</f>
        <v>184.26875999999999</v>
      </c>
      <c r="CV80" s="13">
        <f t="shared" si="95"/>
        <v>46.270607209807572</v>
      </c>
      <c r="CW80" s="20">
        <f t="shared" si="67"/>
        <v>401.52273122374817</v>
      </c>
      <c r="CX80" s="59">
        <f t="shared" si="68"/>
        <v>694.85606455708148</v>
      </c>
      <c r="CY80" s="59">
        <f ca="1">AVERAGE(OFFSET($CX$3,0,0,'Données projet'!$E$13+1,1))-AVERAGE(OFFSET($H$3,0,0,'Données projet'!$E$13+1,1))</f>
        <v>156.63226020379989</v>
      </c>
      <c r="CZ80" s="59">
        <f t="shared" si="96"/>
        <v>196.0481096619543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2.3554870973202595</v>
      </c>
      <c r="DH80" s="21">
        <f>EXP(-LN(2)/2)*DH79+(1-EXP(-LN(2)/2))/(LN(2)/2)*DB80*DE80*VLOOKUP('Données projet'!$B$13,Paramètres!$A$1:$I$89,3,0)*0.475*44/12</f>
        <v>7.6483639873052046E-7</v>
      </c>
      <c r="DI80" s="22">
        <f t="shared" si="69"/>
        <v>2.3554878621566582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-8.5265128291212022E-14</v>
      </c>
      <c r="DP80" s="17">
        <f>DO80*VLOOKUP('Données projet'!$B$14,Paramètres!$A$1:$I$89,3,0)*VLOOKUP('Données projet'!$B$14,Paramètres!$A$1:$I$89,5,0)</f>
        <v>-7.7147888077888636E-14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225.28075317732998</v>
      </c>
      <c r="DU80" s="59">
        <f t="shared" si="98"/>
        <v>358.43407531256207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0.88448496788108921</v>
      </c>
      <c r="EB80" s="21">
        <f>EXP(-LN(2)/25)*EB79+(1-EXP(-LN(2)/25))/(LN(2)/25)*Calculateur!DW80*Calculateur!DY80*VLOOKUP('Données projet'!$B$14,Paramètres!$A$1:$I$89,3,0)*0.475*44/12</f>
        <v>2.2473830947535243</v>
      </c>
      <c r="EC80" s="21">
        <f>EXP(-LN(2)/2)*EC79+(1-EXP(-LN(2)/2))/(LN(2)/2)*DW80*DZ80*VLOOKUP('Données projet'!$B$14,Paramètres!$A$1:$I$89,3,0)*0.475*44/12</f>
        <v>3.7207415851301616E-7</v>
      </c>
      <c r="ED80" s="22">
        <f t="shared" si="72"/>
        <v>3.131868434708772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10.4</v>
      </c>
      <c r="EJ80" s="12">
        <f>IF('Données projet'!$A$192&gt;35,EJ79+EI80-ER79,IF(A80&lt;'Données projet'!$A$192,$EG$205^A80,IF(A80='Données projet'!$A$192,'Données projet'!$B$192,EJ79+EI80-ER79)))</f>
        <v>619.7999999999995</v>
      </c>
      <c r="EK80" s="17">
        <f>EJ80*VLOOKUP('Données projet'!$B$15,Paramètres!$A$1:$I$89,3,0)*VLOOKUP('Données projet'!$B$15,Paramètres!$A$1:$I$89,5,0)</f>
        <v>346.46819999999974</v>
      </c>
      <c r="EL80" s="13">
        <f t="shared" si="99"/>
        <v>80.834848230178139</v>
      </c>
      <c r="EM80" s="20">
        <f t="shared" si="73"/>
        <v>744.21947566755978</v>
      </c>
      <c r="EN80" s="59">
        <f t="shared" si="74"/>
        <v>1037.5528090008931</v>
      </c>
      <c r="EO80" s="59">
        <f ca="1">AVERAGE(OFFSET($EN$3,0,0,'Données projet'!$E$15+1,1))-AVERAGE(OFFSET($H$3,0,0,'Données projet'!$E$15+1,1))</f>
        <v>326.31232746914907</v>
      </c>
      <c r="EP80" s="59">
        <f t="shared" si="100"/>
        <v>330.17137761430297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1.8008626737269899</v>
      </c>
      <c r="EW80" s="21">
        <f>EXP(-LN(2)/25)*EW79+(1-EXP(-LN(2)/25))/(LN(2)/25)*Calculateur!ER80*Calculateur!ET80*VLOOKUP('Données projet'!$B$15,Paramètres!$A$1:$I$89,3,0)*0.475*44/12</f>
        <v>8.1974986971532555</v>
      </c>
      <c r="EX80" s="21">
        <f>EXP(-LN(2)/2)*EX79+(1-EXP(-LN(2)/2))/(LN(2)/2)*ER80*EU80*VLOOKUP('Données projet'!$B$15,Paramètres!$A$1:$I$89,3,0)*0.475*44/12</f>
        <v>2.7414070636132853E-6</v>
      </c>
      <c r="EY80" s="22">
        <f t="shared" si="75"/>
        <v>9.9983641122873088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6</v>
      </c>
      <c r="FE80" s="12">
        <f>IF('Données projet'!$A$218&gt;35,FE79+FD80-FM79,IF(A80&lt;'Données projet'!$A$218,$FB$205^A80,IF(A80='Données projet'!$A$218,'Données projet'!$B$218,FE79+FD80-FM79)))</f>
        <v>424</v>
      </c>
      <c r="FF80" s="17">
        <f>FE80*VLOOKUP('Données projet'!$B$16,Paramètres!$A$1:$I$89,3,0)*VLOOKUP('Données projet'!$B$16,Paramètres!$A$1:$I$89,5,0)</f>
        <v>264.57599999999996</v>
      </c>
      <c r="FG80" s="13">
        <f t="shared" si="101"/>
        <v>63.696803579002321</v>
      </c>
      <c r="FH80" s="20">
        <f t="shared" si="76"/>
        <v>571.74179956676232</v>
      </c>
      <c r="FI80" s="59">
        <f t="shared" si="77"/>
        <v>865.0751329000957</v>
      </c>
      <c r="FJ80" s="59">
        <f ca="1">AVERAGE(OFFSET($FI$3,0,0,'Données projet'!$E$16+1,1))-AVERAGE(OFFSET($H$3,0,0,'Données projet'!$E$16+1,1))</f>
        <v>255.41017495879987</v>
      </c>
      <c r="FK80" s="59">
        <f t="shared" si="102"/>
        <v>297.50513563712764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3.2895250530657898</v>
      </c>
      <c r="FR80" s="21">
        <f>EXP(-LN(2)/25)*FR79+(1-EXP(-LN(2)/25))/(LN(2)/25)*Calculateur!FM80*Calculateur!FO80*VLOOKUP('Données projet'!$B$16,Paramètres!$A$1:$I$89,3,0)*0.475*44/12</f>
        <v>7.5717892135733758</v>
      </c>
      <c r="FS80" s="21">
        <f>EXP(-LN(2)/2)*FS79+(1-EXP(-LN(2)/2))/(LN(2)/2)*FM80*FP80*VLOOKUP('Données projet'!$B$16,Paramètres!$A$1:$I$89,3,0)*0.475*44/12</f>
        <v>2.0568666126655902E-6</v>
      </c>
      <c r="FT80" s="22">
        <f t="shared" si="78"/>
        <v>10.861316323505779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8.1999999999999993</v>
      </c>
      <c r="FZ80" s="12">
        <f>IF('Données projet'!$A$244&gt;35,FZ79+FY80-GH79,IF(A80&lt;'Données projet'!$A$244,$FW$205^A80,IF(A80='Données projet'!$A$244,'Données projet'!$B$244,FZ79+FY80-GH79)))</f>
        <v>497.40000000000009</v>
      </c>
      <c r="GA80" s="17">
        <f>FZ80*VLOOKUP('Données projet'!$B$17,Paramètres!$A$1:$I$89,3,0)*VLOOKUP('Données projet'!$B$17,Paramètres!$A$1:$I$89,5,0)</f>
        <v>297.44520000000011</v>
      </c>
      <c r="GB80" s="13">
        <f t="shared" si="103"/>
        <v>70.640612967440504</v>
      </c>
      <c r="GC80" s="20">
        <f t="shared" si="79"/>
        <v>641.08279091829229</v>
      </c>
      <c r="GD80" s="59">
        <f t="shared" si="80"/>
        <v>934.41612425162566</v>
      </c>
      <c r="GE80" s="59">
        <f ca="1">AVERAGE(OFFSET($GD$3,0,0,'Données projet'!$E$17+1,1))-AVERAGE(OFFSET($H$3,0,0,'Données projet'!$E$17+1,1))</f>
        <v>259.30247982593914</v>
      </c>
      <c r="GF80" s="59">
        <f t="shared" si="104"/>
        <v>275.24740346220779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</v>
      </c>
      <c r="GM80" s="21">
        <f>EXP(-LN(2)/25)*GM79+(1-EXP(-LN(2)/25))/(LN(2)/25)*Calculateur!GH80*Calculateur!GJ80*VLOOKUP('Données projet'!$B$17,Paramètres!$A$1:$I$89,3,0)*0.475*44/12</f>
        <v>4.8992759845647011</v>
      </c>
      <c r="GN80" s="21">
        <f>EXP(-LN(2)/2)*GN79+(1-EXP(-LN(2)/2))/(LN(2)/2)*GH80*GK80*VLOOKUP('Données projet'!$B$17,Paramètres!$A$1:$I$89,3,0)*0.475*44/12</f>
        <v>2.4175828639525581E-6</v>
      </c>
      <c r="GO80" s="21">
        <f t="shared" si="81"/>
        <v>4.8992784021475648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3.1</v>
      </c>
      <c r="GU80" s="12">
        <f>IF('Données projet'!$A$270&gt;35,GU79+GT80-HC79,IF(A80&lt;'Données projet'!$A$270,$GR$205^A80,IF(A80='Données projet'!$A$270,'Données projet'!$B$270,GU79+GT80-HC79)))</f>
        <v>274.7</v>
      </c>
      <c r="GV80" s="17">
        <f>GU80*VLOOKUP('Données projet'!$B$18,Paramètres!$A$1:$I$89,3,0)*VLOOKUP('Données projet'!$B$18,Paramètres!$A$1:$I$89,5,0)</f>
        <v>218.55132000000003</v>
      </c>
      <c r="GW80" s="13">
        <f t="shared" si="105"/>
        <v>53.79990131471051</v>
      </c>
      <c r="GX80" s="20">
        <f t="shared" si="82"/>
        <v>474.3450437897875</v>
      </c>
      <c r="GY80" s="59">
        <f t="shared" si="83"/>
        <v>767.67837712312075</v>
      </c>
      <c r="GZ80" s="59">
        <f ca="1">AVERAGE(OFFSET($GY$3,0,0,'Données projet'!$E$18+1,1))-AVERAGE(OFFSET($H$3,0,0,'Données projet'!$E$18+1,1))</f>
        <v>199.58763537752952</v>
      </c>
      <c r="HA80" s="59">
        <f t="shared" si="106"/>
        <v>242.62852778451929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0</v>
      </c>
      <c r="HH80" s="21">
        <f>EXP(-LN(2)/25)*HH79+(1-EXP(-LN(2)/25))/(LN(2)/25)*Calculateur!HC80*Calculateur!HE80*VLOOKUP('Données projet'!$B$18,Paramètres!$A$1:$I$89,3,0)*0.475*44/12</f>
        <v>2.793717254961237</v>
      </c>
      <c r="HI80" s="21">
        <f>EXP(-LN(2)/2)*HI79+(1-EXP(-LN(2)/2))/(LN(2)/2)*HC80*HF80*VLOOKUP('Données projet'!$B$18,Paramètres!$A$1:$I$89,3,0)*0.475*44/12</f>
        <v>9.071315426803856E-7</v>
      </c>
      <c r="HJ80" s="22">
        <f t="shared" si="84"/>
        <v>2.7937181620927798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6.1</v>
      </c>
      <c r="N81" s="13">
        <f>IF('Données projet'!$A$36&gt;35,N80+M81-V80,IF(A81&lt;'Données projet'!$A$36,$K$205^A81,IF(A81='Données projet'!$A$36,'Données projet'!$B$36,N80+M81-V80)))</f>
        <v>269.80000000000024</v>
      </c>
      <c r="O81" s="13">
        <f>N81*VLOOKUP('Données projet'!$B$9,Paramètres!$A$1:$I$89,3,0)*VLOOKUP('Données projet'!$B$9,Paramètres!$A$1:$I$89,5,0)</f>
        <v>244.11504000000019</v>
      </c>
      <c r="P81" s="13">
        <f t="shared" si="87"/>
        <v>59.324023461759062</v>
      </c>
      <c r="Q81" s="20">
        <f t="shared" si="54"/>
        <v>528.48970219589739</v>
      </c>
      <c r="R81" s="59">
        <f t="shared" si="55"/>
        <v>821.82303552923076</v>
      </c>
      <c r="S81" s="59">
        <f ca="1">AVERAGE(OFFSET($R$3,0,0,'Données projet'!$E$9+1,1))-AVERAGE(OFFSET($H$3,0,0,'Données projet'!$E$9+1,1))</f>
        <v>237.22177246688199</v>
      </c>
      <c r="T81" s="59">
        <f t="shared" si="88"/>
        <v>149.27472147904302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0.82075817029752018</v>
      </c>
      <c r="AB81" s="21">
        <f>EXP(-LN(2)/2)*AB80+(1-EXP(-LN(2)/2))/(LN(2)/2)*V81*Y81*VLOOKUP('Données projet'!$B$9,Paramètres!$A$1:$I$89,3,0)*0.475*44/12</f>
        <v>3.6891388025453253E-7</v>
      </c>
      <c r="AC81" s="22">
        <f t="shared" si="57"/>
        <v>0.82075853921140041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6.1</v>
      </c>
      <c r="AI81" s="13">
        <f>IF('Données projet'!$A$62&gt;35,AI80+AH81-AQ80,IF(A81&lt;'Données projet'!$A$62,$AF$205^A81,IF(A81='Données projet'!$A$62,'Données projet'!$B$62,AI80+AH81-AQ80)))</f>
        <v>269.80000000000024</v>
      </c>
      <c r="AJ81" s="13">
        <f>AI81*VLOOKUP('Données projet'!$B$10,Paramètres!$A$1:$I$89,3,0)*VLOOKUP('Données projet'!$B$10,Paramètres!$A$1:$I$89,5,0)</f>
        <v>273.57720000000029</v>
      </c>
      <c r="AK81" s="13">
        <f t="shared" si="89"/>
        <v>65.607858889915164</v>
      </c>
      <c r="AL81" s="20">
        <f t="shared" si="58"/>
        <v>590.747310899936</v>
      </c>
      <c r="AM81" s="59">
        <f t="shared" si="59"/>
        <v>884.08064423326937</v>
      </c>
      <c r="AN81" s="59">
        <f ca="1">AVERAGE(OFFSET($AM$3,0,0,'Données projet'!$E$10+1,1))-AVERAGE(OFFSET($H$3,0,0,'Données projet'!$E$10+1,1))</f>
        <v>279.20364724206644</v>
      </c>
      <c r="AO81" s="59">
        <f t="shared" si="90"/>
        <v>173.99850582760712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0.91981519085066898</v>
      </c>
      <c r="AW81" s="21">
        <f>EXP(-LN(2)/2)*AW80+(1-EXP(-LN(2)/2))/(LN(2)/2)*AQ81*AT81*VLOOKUP('Données projet'!$B$10,Paramètres!$A$1:$I$89,3,0)*0.475*44/12</f>
        <v>4.1343796925076915E-7</v>
      </c>
      <c r="AX81" s="21">
        <f t="shared" si="60"/>
        <v>0.91981560428863829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17</v>
      </c>
      <c r="BD81" s="12">
        <f>IF('Données projet'!$A$88&gt;35,BD80+BC81-BL80,IF(A81&lt;'Données projet'!$A$88,$BA$205^A81,IF(A81='Données projet'!$A$88,'Données projet'!$B$88,BD80+BC81-BL80)))</f>
        <v>498.99999999999989</v>
      </c>
      <c r="BE81" s="13">
        <f>BD81*VLOOKUP('Données projet'!$B$11,Paramètres!$A$1:$I$89,3,0)*VLOOKUP('Données projet'!$B$11,Paramètres!$A$1:$I$89,5,0)</f>
        <v>233.53199999999995</v>
      </c>
      <c r="BF81" s="13">
        <f t="shared" si="91"/>
        <v>57.04570382109808</v>
      </c>
      <c r="BG81" s="20">
        <f t="shared" si="61"/>
        <v>506.08950082174573</v>
      </c>
      <c r="BH81" s="59">
        <f t="shared" si="62"/>
        <v>799.42283415507904</v>
      </c>
      <c r="BI81" s="59">
        <f ca="1">AVERAGE(OFFSET($BH$3,0,0,'Données projet'!$E$11+1,1))-AVERAGE(OFFSET($H$3,0,0,'Données projet'!$E$11+1,1))</f>
        <v>215.23235148064941</v>
      </c>
      <c r="BJ81" s="59">
        <f t="shared" si="92"/>
        <v>184.07239726900434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1.2115419136996166</v>
      </c>
      <c r="BQ81" s="21">
        <f>EXP(-LN(2)/25)*BQ80+(1-EXP(-LN(2)/25))/(LN(2)/25)*Calculateur!BL81*Calculateur!BN81*VLOOKUP('Données projet'!$B$11,Paramètres!$A$1:$I$89,3,0)*0.475*44/12</f>
        <v>2.0758418847894227</v>
      </c>
      <c r="BR81" s="21">
        <f>EXP(-LN(2)/2)*BR80+(1-EXP(-LN(2)/2))/(LN(2)/2)*BL81*BO81*VLOOKUP('Données projet'!$B$11,Paramètres!$A$1:$I$89,3,0)*0.475*44/12</f>
        <v>5.8604338647699308E-7</v>
      </c>
      <c r="BS81" s="22">
        <f t="shared" si="63"/>
        <v>3.2873843845324258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6.1</v>
      </c>
      <c r="BY81" s="12">
        <f>IF('Données projet'!$A$114&gt;35,BY80+BX81-CG80,IF(A81&lt;'Données projet'!$A$114,$BV$205^A81,IF(A81='Données projet'!$A$114,'Données projet'!$B$114,BY80+BX81-CG80)))</f>
        <v>269.80000000000024</v>
      </c>
      <c r="BZ81" s="13">
        <f>BY81*VLOOKUP('Données projet'!$B$12,Paramètres!$A$1:$I$89,3,0)*VLOOKUP('Données projet'!$B$12,Paramètres!$A$1:$I$89,5,0)</f>
        <v>290.41272000000026</v>
      </c>
      <c r="CA81" s="13">
        <f t="shared" si="93"/>
        <v>69.162817905044847</v>
      </c>
      <c r="CB81" s="20">
        <f t="shared" si="64"/>
        <v>626.26072851795345</v>
      </c>
      <c r="CC81" s="59">
        <f t="shared" si="65"/>
        <v>919.59406185128682</v>
      </c>
      <c r="CD81" s="59">
        <f ca="1">AVERAGE(OFFSET($CC$3,0,0,'Données projet'!$E$12+1,1))-AVERAGE(OFFSET($H$3,0,0,'Données projet'!$E$12+1,1))</f>
        <v>303.1504619632214</v>
      </c>
      <c r="CE81" s="59">
        <f t="shared" si="94"/>
        <v>188.09929616366503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0.97641920259532577</v>
      </c>
      <c r="CM81" s="21">
        <f>EXP(-LN(2)/2)*CM80+(1-EXP(-LN(2)/2))/(LN(2)/2)*CG81*CJ81*VLOOKUP('Données projet'!$B$12,Paramètres!$A$1:$I$89,3,0)*0.475*44/12</f>
        <v>4.3888030582004808E-7</v>
      </c>
      <c r="CN81" s="22">
        <f t="shared" si="66"/>
        <v>0.97641964147563165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3.1</v>
      </c>
      <c r="CT81" s="12">
        <f>IF('Données projet'!$A$140&gt;35,CT80+CS81-DB80,IF(A81&lt;'Données projet'!$A$140,$CQ$205^A81,IF(A81='Données projet'!$A$140,'Données projet'!$B$140,CT80+CS81-DB80)))</f>
        <v>277.8</v>
      </c>
      <c r="CU81" s="17">
        <f>CT81*VLOOKUP('Données projet'!$B$13,Paramètres!$A$1:$I$89,3,0)*VLOOKUP('Données projet'!$B$13,Paramètres!$A$1:$I$89,5,0)</f>
        <v>186.34824000000003</v>
      </c>
      <c r="CV81" s="13">
        <f t="shared" si="95"/>
        <v>46.731690940362157</v>
      </c>
      <c r="CW81" s="20">
        <f t="shared" si="67"/>
        <v>405.9475463877975</v>
      </c>
      <c r="CX81" s="59">
        <f t="shared" si="68"/>
        <v>699.28087972113076</v>
      </c>
      <c r="CY81" s="59">
        <f ca="1">AVERAGE(OFFSET($CX$3,0,0,'Données projet'!$E$13+1,1))-AVERAGE(OFFSET($H$3,0,0,'Données projet'!$E$13+1,1))</f>
        <v>156.63226020379989</v>
      </c>
      <c r="CZ81" s="59">
        <f t="shared" si="96"/>
        <v>196.0481096619543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2.2910761787743543</v>
      </c>
      <c r="DH81" s="21">
        <f>EXP(-LN(2)/2)*DH80+(1-EXP(-LN(2)/2))/(LN(2)/2)*DB81*DE81*VLOOKUP('Données projet'!$B$13,Paramètres!$A$1:$I$89,3,0)*0.475*44/12</f>
        <v>5.4082100404064915E-7</v>
      </c>
      <c r="DI81" s="22">
        <f t="shared" si="69"/>
        <v>2.2910767195953583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-8.5265128291212022E-14</v>
      </c>
      <c r="DP81" s="17">
        <f>DO81*VLOOKUP('Données projet'!$B$14,Paramètres!$A$1:$I$89,3,0)*VLOOKUP('Données projet'!$B$14,Paramètres!$A$1:$I$89,5,0)</f>
        <v>-7.7147888077888636E-14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225.28075317732998</v>
      </c>
      <c r="DU81" s="59">
        <f t="shared" si="98"/>
        <v>358.43407531256207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0.86714075714350203</v>
      </c>
      <c r="EB81" s="21">
        <f>EXP(-LN(2)/25)*EB80+(1-EXP(-LN(2)/25))/(LN(2)/25)*Calculateur!DW81*Calculateur!DY81*VLOOKUP('Données projet'!$B$14,Paramètres!$A$1:$I$89,3,0)*0.475*44/12</f>
        <v>2.1859282858427487</v>
      </c>
      <c r="EC81" s="21">
        <f>EXP(-LN(2)/2)*EC80+(1-EXP(-LN(2)/2))/(LN(2)/2)*DW81*DZ81*VLOOKUP('Données projet'!$B$14,Paramètres!$A$1:$I$89,3,0)*0.475*44/12</f>
        <v>2.6309616058883212E-7</v>
      </c>
      <c r="ED81" s="22">
        <f t="shared" si="72"/>
        <v>3.0530693060824112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10.4</v>
      </c>
      <c r="EJ81" s="12">
        <f>IF('Données projet'!$A$192&gt;35,EJ80+EI81-ER80,IF(A81&lt;'Données projet'!$A$192,$EG$205^A81,IF(A81='Données projet'!$A$192,'Données projet'!$B$192,EJ80+EI81-ER80)))</f>
        <v>630.19999999999948</v>
      </c>
      <c r="EK81" s="17">
        <f>EJ81*VLOOKUP('Données projet'!$B$15,Paramètres!$A$1:$I$89,3,0)*VLOOKUP('Données projet'!$B$15,Paramètres!$A$1:$I$89,5,0)</f>
        <v>352.28179999999969</v>
      </c>
      <c r="EL81" s="13">
        <f t="shared" si="99"/>
        <v>82.032179712608126</v>
      </c>
      <c r="EM81" s="20">
        <f t="shared" si="73"/>
        <v>756.4301813327919</v>
      </c>
      <c r="EN81" s="59">
        <f t="shared" si="74"/>
        <v>1049.7635146661253</v>
      </c>
      <c r="EO81" s="59">
        <f ca="1">AVERAGE(OFFSET($EN$3,0,0,'Données projet'!$E$15+1,1))-AVERAGE(OFFSET($H$3,0,0,'Données projet'!$E$15+1,1))</f>
        <v>326.31232746914907</v>
      </c>
      <c r="EP81" s="59">
        <f t="shared" si="100"/>
        <v>330.17137761430297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1.765548855112975</v>
      </c>
      <c r="EW81" s="21">
        <f>EXP(-LN(2)/25)*EW80+(1-EXP(-LN(2)/25))/(LN(2)/25)*Calculateur!ER81*Calculateur!ET81*VLOOKUP('Données projet'!$B$15,Paramètres!$A$1:$I$89,3,0)*0.475*44/12</f>
        <v>7.9733376641918792</v>
      </c>
      <c r="EX81" s="21">
        <f>EXP(-LN(2)/2)*EX80+(1-EXP(-LN(2)/2))/(LN(2)/2)*ER81*EU81*VLOOKUP('Données projet'!$B$15,Paramètres!$A$1:$I$89,3,0)*0.475*44/12</f>
        <v>1.9384675246736551E-6</v>
      </c>
      <c r="EY81" s="22">
        <f t="shared" si="75"/>
        <v>9.7388884577723793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6</v>
      </c>
      <c r="FE81" s="12">
        <f>IF('Données projet'!$A$218&gt;35,FE80+FD81-FM80,IF(A81&lt;'Données projet'!$A$218,$FB$205^A81,IF(A81='Données projet'!$A$218,'Données projet'!$B$218,FE80+FD81-FM80)))</f>
        <v>430</v>
      </c>
      <c r="FF81" s="17">
        <f>FE81*VLOOKUP('Données projet'!$B$16,Paramètres!$A$1:$I$89,3,0)*VLOOKUP('Données projet'!$B$16,Paramètres!$A$1:$I$89,5,0)</f>
        <v>268.32</v>
      </c>
      <c r="FG81" s="13">
        <f t="shared" si="101"/>
        <v>64.492601473092478</v>
      </c>
      <c r="FH81" s="20">
        <f t="shared" si="76"/>
        <v>579.64861423230275</v>
      </c>
      <c r="FI81" s="59">
        <f t="shared" si="77"/>
        <v>872.98194756563612</v>
      </c>
      <c r="FJ81" s="59">
        <f ca="1">AVERAGE(OFFSET($FI$3,0,0,'Données projet'!$E$16+1,1))-AVERAGE(OFFSET($H$3,0,0,'Données projet'!$E$16+1,1))</f>
        <v>255.41017495879987</v>
      </c>
      <c r="FK81" s="59">
        <f t="shared" si="102"/>
        <v>297.50513563712764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3.2250194731873352</v>
      </c>
      <c r="FR81" s="21">
        <f>EXP(-LN(2)/25)*FR80+(1-EXP(-LN(2)/25))/(LN(2)/25)*Calculateur!FM81*Calculateur!FO81*VLOOKUP('Données projet'!$B$16,Paramètres!$A$1:$I$89,3,0)*0.475*44/12</f>
        <v>7.3647382393451224</v>
      </c>
      <c r="FS81" s="21">
        <f>EXP(-LN(2)/2)*FS80+(1-EXP(-LN(2)/2))/(LN(2)/2)*FM81*FP81*VLOOKUP('Données projet'!$B$16,Paramètres!$A$1:$I$89,3,0)*0.475*44/12</f>
        <v>1.4544243298120427E-6</v>
      </c>
      <c r="FT81" s="22">
        <f t="shared" si="78"/>
        <v>10.589759166956787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8.1999999999999993</v>
      </c>
      <c r="FZ81" s="12">
        <f>IF('Données projet'!$A$244&gt;35,FZ80+FY81-GH80,IF(A81&lt;'Données projet'!$A$244,$FW$205^A81,IF(A81='Données projet'!$A$244,'Données projet'!$B$244,FZ80+FY81-GH80)))</f>
        <v>505.60000000000008</v>
      </c>
      <c r="GA81" s="17">
        <f>FZ81*VLOOKUP('Données projet'!$B$17,Paramètres!$A$1:$I$89,3,0)*VLOOKUP('Données projet'!$B$17,Paramètres!$A$1:$I$89,5,0)</f>
        <v>302.3488000000001</v>
      </c>
      <c r="GB81" s="13">
        <f t="shared" si="103"/>
        <v>71.668638455174857</v>
      </c>
      <c r="GC81" s="20">
        <f t="shared" si="79"/>
        <v>651.4137053094297</v>
      </c>
      <c r="GD81" s="59">
        <f t="shared" si="80"/>
        <v>944.74703864276307</v>
      </c>
      <c r="GE81" s="59">
        <f ca="1">AVERAGE(OFFSET($GD$3,0,0,'Données projet'!$E$17+1,1))-AVERAGE(OFFSET($H$3,0,0,'Données projet'!$E$17+1,1))</f>
        <v>259.30247982593914</v>
      </c>
      <c r="GF81" s="59">
        <f t="shared" si="104"/>
        <v>275.24740346220779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</v>
      </c>
      <c r="GM81" s="21">
        <f>EXP(-LN(2)/25)*GM80+(1-EXP(-LN(2)/25))/(LN(2)/25)*Calculateur!GH81*Calculateur!GJ81*VLOOKUP('Données projet'!$B$17,Paramètres!$A$1:$I$89,3,0)*0.475*44/12</f>
        <v>4.7653050251250528</v>
      </c>
      <c r="GN81" s="21">
        <f>EXP(-LN(2)/2)*GN80+(1-EXP(-LN(2)/2))/(LN(2)/2)*GH81*GK81*VLOOKUP('Données projet'!$B$17,Paramètres!$A$1:$I$89,3,0)*0.475*44/12</f>
        <v>1.7094892371812485E-6</v>
      </c>
      <c r="GO81" s="21">
        <f t="shared" si="81"/>
        <v>4.7653067346142901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3.1</v>
      </c>
      <c r="GU81" s="12">
        <f>IF('Données projet'!$A$270&gt;35,GU80+GT81-HC80,IF(A81&lt;'Données projet'!$A$270,$GR$205^A81,IF(A81='Données projet'!$A$270,'Données projet'!$B$270,GU80+GT81-HC80)))</f>
        <v>277.8</v>
      </c>
      <c r="GV81" s="17">
        <f>GU81*VLOOKUP('Données projet'!$B$18,Paramètres!$A$1:$I$89,3,0)*VLOOKUP('Données projet'!$B$18,Paramètres!$A$1:$I$89,5,0)</f>
        <v>221.01768000000001</v>
      </c>
      <c r="GW81" s="13">
        <f t="shared" si="105"/>
        <v>54.336013993957934</v>
      </c>
      <c r="GX81" s="20">
        <f t="shared" si="82"/>
        <v>479.5743503728101</v>
      </c>
      <c r="GY81" s="59">
        <f t="shared" si="83"/>
        <v>772.90768370614342</v>
      </c>
      <c r="GZ81" s="59">
        <f ca="1">AVERAGE(OFFSET($GY$3,0,0,'Données projet'!$E$18+1,1))-AVERAGE(OFFSET($H$3,0,0,'Données projet'!$E$18+1,1))</f>
        <v>199.58763537752952</v>
      </c>
      <c r="HA81" s="59">
        <f t="shared" si="106"/>
        <v>242.62852778451929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0</v>
      </c>
      <c r="HH81" s="21">
        <f>EXP(-LN(2)/25)*HH80+(1-EXP(-LN(2)/25))/(LN(2)/25)*Calculateur!HC81*Calculateur!HE81*VLOOKUP('Données projet'!$B$18,Paramètres!$A$1:$I$89,3,0)*0.475*44/12</f>
        <v>2.7173229097091167</v>
      </c>
      <c r="HI81" s="21">
        <f>EXP(-LN(2)/2)*HI80+(1-EXP(-LN(2)/2))/(LN(2)/2)*HC81*HF81*VLOOKUP('Données projet'!$B$18,Paramètres!$A$1:$I$89,3,0)*0.475*44/12</f>
        <v>6.4143886525751471E-7</v>
      </c>
      <c r="HJ81" s="22">
        <f t="shared" si="84"/>
        <v>2.7173235511479819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6.1</v>
      </c>
      <c r="N82" s="13">
        <f>IF('Données projet'!$A$36&gt;35,N81+M82-V81,IF(A82&lt;'Données projet'!$A$36,$K$205^A82,IF(A82='Données projet'!$A$36,'Données projet'!$B$36,N81+M82-V81)))</f>
        <v>275.90000000000026</v>
      </c>
      <c r="O82" s="13">
        <f>N82*VLOOKUP('Données projet'!$B$9,Paramètres!$A$1:$I$89,3,0)*VLOOKUP('Données projet'!$B$9,Paramètres!$A$1:$I$89,5,0)</f>
        <v>249.63432000000023</v>
      </c>
      <c r="P82" s="13">
        <f t="shared" si="87"/>
        <v>60.507629314318471</v>
      </c>
      <c r="Q82" s="20">
        <f t="shared" si="54"/>
        <v>540.16389505577172</v>
      </c>
      <c r="R82" s="59">
        <f t="shared" si="55"/>
        <v>833.49722838910498</v>
      </c>
      <c r="S82" s="59">
        <f ca="1">AVERAGE(OFFSET($R$3,0,0,'Données projet'!$E$9+1,1))-AVERAGE(OFFSET($H$3,0,0,'Données projet'!$E$9+1,1))</f>
        <v>237.22177246688199</v>
      </c>
      <c r="T82" s="59">
        <f t="shared" si="88"/>
        <v>149.27472147904302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0.79831449496893814</v>
      </c>
      <c r="AB82" s="21">
        <f>EXP(-LN(2)/2)*AB81+(1-EXP(-LN(2)/2))/(LN(2)/2)*V82*Y82*VLOOKUP('Données projet'!$B$9,Paramètres!$A$1:$I$89,3,0)*0.475*44/12</f>
        <v>2.6086150640182193E-7</v>
      </c>
      <c r="AC82" s="22">
        <f t="shared" si="57"/>
        <v>0.79831475583044453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6.1</v>
      </c>
      <c r="AI82" s="13">
        <f>IF('Données projet'!$A$62&gt;35,AI81+AH82-AQ81,IF(A82&lt;'Données projet'!$A$62,$AF$205^A82,IF(A82='Données projet'!$A$62,'Données projet'!$B$62,AI81+AH82-AQ81)))</f>
        <v>275.90000000000026</v>
      </c>
      <c r="AJ82" s="13">
        <f>AI82*VLOOKUP('Données projet'!$B$10,Paramètres!$A$1:$I$89,3,0)*VLOOKUP('Données projet'!$B$10,Paramètres!$A$1:$I$89,5,0)</f>
        <v>279.7626000000003</v>
      </c>
      <c r="AK82" s="13">
        <f t="shared" si="89"/>
        <v>66.916836960258763</v>
      </c>
      <c r="AL82" s="20">
        <f t="shared" si="58"/>
        <v>603.80001937245117</v>
      </c>
      <c r="AM82" s="59">
        <f t="shared" si="59"/>
        <v>897.13335270578455</v>
      </c>
      <c r="AN82" s="59">
        <f ca="1">AVERAGE(OFFSET($AM$3,0,0,'Données projet'!$E$10+1,1))-AVERAGE(OFFSET($H$3,0,0,'Données projet'!$E$10+1,1))</f>
        <v>279.20364724206644</v>
      </c>
      <c r="AO82" s="59">
        <f t="shared" si="90"/>
        <v>173.99850582760712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0.89466279608587884</v>
      </c>
      <c r="AW82" s="21">
        <f>EXP(-LN(2)/2)*AW81+(1-EXP(-LN(2)/2))/(LN(2)/2)*AQ82*AT82*VLOOKUP('Données projet'!$B$10,Paramètres!$A$1:$I$89,3,0)*0.475*44/12</f>
        <v>2.9234479165721419E-7</v>
      </c>
      <c r="AX82" s="21">
        <f t="shared" si="60"/>
        <v>0.89466308843067055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17</v>
      </c>
      <c r="BD82" s="12">
        <f>IF('Données projet'!$A$88&gt;35,BD81+BC82-BL81,IF(A82&lt;'Données projet'!$A$88,$BA$205^A82,IF(A82='Données projet'!$A$88,'Données projet'!$B$88,BD81+BC82-BL81)))</f>
        <v>515.99999999999989</v>
      </c>
      <c r="BE82" s="13">
        <f>BD82*VLOOKUP('Données projet'!$B$11,Paramètres!$A$1:$I$89,3,0)*VLOOKUP('Données projet'!$B$11,Paramètres!$A$1:$I$89,5,0)</f>
        <v>241.48799999999997</v>
      </c>
      <c r="BF82" s="13">
        <f t="shared" si="91"/>
        <v>58.759565673424916</v>
      </c>
      <c r="BG82" s="20">
        <f t="shared" si="61"/>
        <v>522.93117688121504</v>
      </c>
      <c r="BH82" s="59">
        <f t="shared" si="62"/>
        <v>816.26451021454841</v>
      </c>
      <c r="BI82" s="59">
        <f ca="1">AVERAGE(OFFSET($BH$3,0,0,'Données projet'!$E$11+1,1))-AVERAGE(OFFSET($H$3,0,0,'Données projet'!$E$11+1,1))</f>
        <v>215.23235148064941</v>
      </c>
      <c r="BJ82" s="59">
        <f t="shared" si="92"/>
        <v>184.07239726900434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1.1877843157395676</v>
      </c>
      <c r="BQ82" s="21">
        <f>EXP(-LN(2)/25)*BQ81+(1-EXP(-LN(2)/25))/(LN(2)/25)*Calculateur!BL82*Calculateur!BN82*VLOOKUP('Données projet'!$B$11,Paramètres!$A$1:$I$89,3,0)*0.475*44/12</f>
        <v>2.0190778792860757</v>
      </c>
      <c r="BR82" s="21">
        <f>EXP(-LN(2)/2)*BR81+(1-EXP(-LN(2)/2))/(LN(2)/2)*BL82*BO82*VLOOKUP('Données projet'!$B$11,Paramètres!$A$1:$I$89,3,0)*0.475*44/12</f>
        <v>4.1439525264741046E-7</v>
      </c>
      <c r="BS82" s="22">
        <f t="shared" si="63"/>
        <v>3.2068626094208961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6.1</v>
      </c>
      <c r="BY82" s="12">
        <f>IF('Données projet'!$A$114&gt;35,BY81+BX82-CG81,IF(A82&lt;'Données projet'!$A$114,$BV$205^A82,IF(A82='Données projet'!$A$114,'Données projet'!$B$114,BY81+BX82-CG81)))</f>
        <v>275.90000000000026</v>
      </c>
      <c r="BZ82" s="13">
        <f>BY82*VLOOKUP('Données projet'!$B$12,Paramètres!$A$1:$I$89,3,0)*VLOOKUP('Données projet'!$B$12,Paramètres!$A$1:$I$89,5,0)</f>
        <v>296.97876000000031</v>
      </c>
      <c r="CA82" s="13">
        <f t="shared" si="93"/>
        <v>70.542722895890194</v>
      </c>
      <c r="CB82" s="20">
        <f t="shared" si="64"/>
        <v>640.09991604367588</v>
      </c>
      <c r="CC82" s="59">
        <f t="shared" si="65"/>
        <v>933.43324937700913</v>
      </c>
      <c r="CD82" s="59">
        <f ca="1">AVERAGE(OFFSET($CC$3,0,0,'Données projet'!$E$12+1,1))-AVERAGE(OFFSET($H$3,0,0,'Données projet'!$E$12+1,1))</f>
        <v>303.1504619632214</v>
      </c>
      <c r="CE82" s="59">
        <f t="shared" si="94"/>
        <v>188.09929616366503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0.9497189681527024</v>
      </c>
      <c r="CM82" s="21">
        <f>EXP(-LN(2)/2)*CM81+(1-EXP(-LN(2)/2))/(LN(2)/2)*CG82*CJ82*VLOOKUP('Données projet'!$B$12,Paramètres!$A$1:$I$89,3,0)*0.475*44/12</f>
        <v>3.103352403745818E-7</v>
      </c>
      <c r="CN82" s="22">
        <f t="shared" si="66"/>
        <v>0.9497192784879428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3.1</v>
      </c>
      <c r="CT82" s="12">
        <f>IF('Données projet'!$A$140&gt;35,CT81+CS82-DB81,IF(A82&lt;'Données projet'!$A$140,$CQ$205^A82,IF(A82='Données projet'!$A$140,'Données projet'!$B$140,CT81+CS82-DB81)))</f>
        <v>280.90000000000003</v>
      </c>
      <c r="CU82" s="17">
        <f>CT82*VLOOKUP('Données projet'!$B$13,Paramètres!$A$1:$I$89,3,0)*VLOOKUP('Données projet'!$B$13,Paramètres!$A$1:$I$89,5,0)</f>
        <v>188.42772000000002</v>
      </c>
      <c r="CV82" s="13">
        <f t="shared" si="95"/>
        <v>47.192176135661008</v>
      </c>
      <c r="CW82" s="20">
        <f t="shared" si="67"/>
        <v>410.37131910294289</v>
      </c>
      <c r="CX82" s="59">
        <f t="shared" si="68"/>
        <v>703.70465243627621</v>
      </c>
      <c r="CY82" s="59">
        <f ca="1">AVERAGE(OFFSET($CX$3,0,0,'Données projet'!$E$13+1,1))-AVERAGE(OFFSET($H$3,0,0,'Données projet'!$E$13+1,1))</f>
        <v>156.63226020379989</v>
      </c>
      <c r="CZ82" s="59">
        <f t="shared" si="96"/>
        <v>196.0481096619543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2.2284265801833096</v>
      </c>
      <c r="DH82" s="21">
        <f>EXP(-LN(2)/2)*DH81+(1-EXP(-LN(2)/2))/(LN(2)/2)*DB82*DE82*VLOOKUP('Données projet'!$B$13,Paramètres!$A$1:$I$89,3,0)*0.475*44/12</f>
        <v>3.8241819936526023E-7</v>
      </c>
      <c r="DI82" s="22">
        <f t="shared" si="69"/>
        <v>2.228426962601509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-8.5265128291212022E-14</v>
      </c>
      <c r="DP82" s="17">
        <f>DO82*VLOOKUP('Données projet'!$B$14,Paramètres!$A$1:$I$89,3,0)*VLOOKUP('Données projet'!$B$14,Paramètres!$A$1:$I$89,5,0)</f>
        <v>-7.7147888077888636E-14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225.28075317732998</v>
      </c>
      <c r="DU82" s="59">
        <f t="shared" si="98"/>
        <v>358.43407531256207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0.85013665579955489</v>
      </c>
      <c r="EB82" s="21">
        <f>EXP(-LN(2)/25)*EB81+(1-EXP(-LN(2)/25))/(LN(2)/25)*Calculateur!DW82*Calculateur!DY82*VLOOKUP('Données projet'!$B$14,Paramètres!$A$1:$I$89,3,0)*0.475*44/12</f>
        <v>2.1261539619134062</v>
      </c>
      <c r="EC82" s="21">
        <f>EXP(-LN(2)/2)*EC81+(1-EXP(-LN(2)/2))/(LN(2)/2)*DW82*DZ82*VLOOKUP('Données projet'!$B$14,Paramètres!$A$1:$I$89,3,0)*0.475*44/12</f>
        <v>1.8603707925650808E-7</v>
      </c>
      <c r="ED82" s="22">
        <f t="shared" si="72"/>
        <v>2.9762908037500404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10.4</v>
      </c>
      <c r="EJ82" s="12">
        <f>IF('Données projet'!$A$192&gt;35,EJ81+EI82-ER81,IF(A82&lt;'Données projet'!$A$192,$EG$205^A82,IF(A82='Données projet'!$A$192,'Données projet'!$B$192,EJ81+EI82-ER81)))</f>
        <v>640.59999999999945</v>
      </c>
      <c r="EK82" s="17">
        <f>EJ82*VLOOKUP('Données projet'!$B$15,Paramètres!$A$1:$I$89,3,0)*VLOOKUP('Données projet'!$B$15,Paramètres!$A$1:$I$89,5,0)</f>
        <v>358.0953999999997</v>
      </c>
      <c r="EL82" s="13">
        <f t="shared" si="99"/>
        <v>83.227213321573814</v>
      </c>
      <c r="EM82" s="20">
        <f t="shared" si="73"/>
        <v>768.63688486840704</v>
      </c>
      <c r="EN82" s="59">
        <f t="shared" si="74"/>
        <v>1061.9702182017404</v>
      </c>
      <c r="EO82" s="59">
        <f ca="1">AVERAGE(OFFSET($EN$3,0,0,'Données projet'!$E$15+1,1))-AVERAGE(OFFSET($H$3,0,0,'Données projet'!$E$15+1,1))</f>
        <v>326.31232746914907</v>
      </c>
      <c r="EP82" s="59">
        <f t="shared" si="100"/>
        <v>330.17137761430297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1.7309275189426783</v>
      </c>
      <c r="EW82" s="21">
        <f>EXP(-LN(2)/25)*EW81+(1-EXP(-LN(2)/25))/(LN(2)/25)*Calculateur!ER82*Calculateur!ET82*VLOOKUP('Données projet'!$B$15,Paramètres!$A$1:$I$89,3,0)*0.475*44/12</f>
        <v>7.7553063264649476</v>
      </c>
      <c r="EX82" s="21">
        <f>EXP(-LN(2)/2)*EX81+(1-EXP(-LN(2)/2))/(LN(2)/2)*ER82*EU82*VLOOKUP('Données projet'!$B$15,Paramètres!$A$1:$I$89,3,0)*0.475*44/12</f>
        <v>1.3707035318066427E-6</v>
      </c>
      <c r="EY82" s="22">
        <f t="shared" si="75"/>
        <v>9.4862352161111563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6</v>
      </c>
      <c r="FE82" s="12">
        <f>IF('Données projet'!$A$218&gt;35,FE81+FD82-FM81,IF(A82&lt;'Données projet'!$A$218,$FB$205^A82,IF(A82='Données projet'!$A$218,'Données projet'!$B$218,FE81+FD82-FM81)))</f>
        <v>436</v>
      </c>
      <c r="FF82" s="17">
        <f>FE82*VLOOKUP('Données projet'!$B$16,Paramètres!$A$1:$I$89,3,0)*VLOOKUP('Données projet'!$B$16,Paramètres!$A$1:$I$89,5,0)</f>
        <v>272.06400000000002</v>
      </c>
      <c r="FG82" s="13">
        <f t="shared" si="101"/>
        <v>65.28710784811372</v>
      </c>
      <c r="FH82" s="20">
        <f t="shared" si="76"/>
        <v>587.55317950213146</v>
      </c>
      <c r="FI82" s="59">
        <f t="shared" si="77"/>
        <v>880.88651283546483</v>
      </c>
      <c r="FJ82" s="59">
        <f ca="1">AVERAGE(OFFSET($FI$3,0,0,'Données projet'!$E$16+1,1))-AVERAGE(OFFSET($H$3,0,0,'Données projet'!$E$16+1,1))</f>
        <v>255.41017495879987</v>
      </c>
      <c r="FK82" s="59">
        <f t="shared" si="102"/>
        <v>297.50513563712764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3.1617788083857783</v>
      </c>
      <c r="FR82" s="21">
        <f>EXP(-LN(2)/25)*FR81+(1-EXP(-LN(2)/25))/(LN(2)/25)*Calculateur!FM82*Calculateur!FO82*VLOOKUP('Données projet'!$B$16,Paramètres!$A$1:$I$89,3,0)*0.475*44/12</f>
        <v>7.1633490848954784</v>
      </c>
      <c r="FS82" s="21">
        <f>EXP(-LN(2)/2)*FS81+(1-EXP(-LN(2)/2))/(LN(2)/2)*FM82*FP82*VLOOKUP('Données projet'!$B$16,Paramètres!$A$1:$I$89,3,0)*0.475*44/12</f>
        <v>1.0284333063327951E-6</v>
      </c>
      <c r="FT82" s="22">
        <f t="shared" si="78"/>
        <v>10.325128921714564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8.1999999999999993</v>
      </c>
      <c r="FZ82" s="12">
        <f>IF('Données projet'!$A$244&gt;35,FZ81+FY82-GH81,IF(A82&lt;'Données projet'!$A$244,$FW$205^A82,IF(A82='Données projet'!$A$244,'Données projet'!$B$244,FZ81+FY82-GH81)))</f>
        <v>513.80000000000007</v>
      </c>
      <c r="GA82" s="17">
        <f>FZ82*VLOOKUP('Données projet'!$B$17,Paramètres!$A$1:$I$89,3,0)*VLOOKUP('Données projet'!$B$17,Paramètres!$A$1:$I$89,5,0)</f>
        <v>307.25240000000008</v>
      </c>
      <c r="GB82" s="13">
        <f t="shared" si="103"/>
        <v>72.694724960317785</v>
      </c>
      <c r="GC82" s="20">
        <f t="shared" si="79"/>
        <v>661.74124263922022</v>
      </c>
      <c r="GD82" s="59">
        <f t="shared" si="80"/>
        <v>955.07457597255348</v>
      </c>
      <c r="GE82" s="59">
        <f ca="1">AVERAGE(OFFSET($GD$3,0,0,'Données projet'!$E$17+1,1))-AVERAGE(OFFSET($H$3,0,0,'Données projet'!$E$17+1,1))</f>
        <v>259.30247982593914</v>
      </c>
      <c r="GF82" s="59">
        <f t="shared" si="104"/>
        <v>275.24740346220779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</v>
      </c>
      <c r="GM82" s="21">
        <f>EXP(-LN(2)/25)*GM81+(1-EXP(-LN(2)/25))/(LN(2)/25)*Calculateur!GH82*Calculateur!GJ82*VLOOKUP('Données projet'!$B$17,Paramètres!$A$1:$I$89,3,0)*0.475*44/12</f>
        <v>4.6349975086165083</v>
      </c>
      <c r="GN82" s="21">
        <f>EXP(-LN(2)/2)*GN81+(1-EXP(-LN(2)/2))/(LN(2)/2)*GH82*GK82*VLOOKUP('Données projet'!$B$17,Paramètres!$A$1:$I$89,3,0)*0.475*44/12</f>
        <v>1.2087914319762791E-6</v>
      </c>
      <c r="GO82" s="21">
        <f t="shared" si="81"/>
        <v>4.6349987174079406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3.1</v>
      </c>
      <c r="GU82" s="12">
        <f>IF('Données projet'!$A$270&gt;35,GU81+GT82-HC81,IF(A82&lt;'Données projet'!$A$270,$GR$205^A82,IF(A82='Données projet'!$A$270,'Données projet'!$B$270,GU81+GT82-HC81)))</f>
        <v>280.90000000000003</v>
      </c>
      <c r="GV82" s="17">
        <f>GU82*VLOOKUP('Données projet'!$B$18,Paramètres!$A$1:$I$89,3,0)*VLOOKUP('Données projet'!$B$18,Paramètres!$A$1:$I$89,5,0)</f>
        <v>223.48404000000002</v>
      </c>
      <c r="GW82" s="13">
        <f t="shared" si="105"/>
        <v>54.871430742470253</v>
      </c>
      <c r="GX82" s="20">
        <f t="shared" si="82"/>
        <v>484.80244487646905</v>
      </c>
      <c r="GY82" s="59">
        <f t="shared" si="83"/>
        <v>778.13577820980231</v>
      </c>
      <c r="GZ82" s="59">
        <f ca="1">AVERAGE(OFFSET($GY$3,0,0,'Données projet'!$E$18+1,1))-AVERAGE(OFFSET($H$3,0,0,'Données projet'!$E$18+1,1))</f>
        <v>199.58763537752952</v>
      </c>
      <c r="HA82" s="59">
        <f t="shared" si="106"/>
        <v>242.62852778451929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0</v>
      </c>
      <c r="HH82" s="21">
        <f>EXP(-LN(2)/25)*HH81+(1-EXP(-LN(2)/25))/(LN(2)/25)*Calculateur!HC82*Calculateur!HE82*VLOOKUP('Données projet'!$B$18,Paramètres!$A$1:$I$89,3,0)*0.475*44/12</f>
        <v>2.6430175718453195</v>
      </c>
      <c r="HI82" s="21">
        <f>EXP(-LN(2)/2)*HI81+(1-EXP(-LN(2)/2))/(LN(2)/2)*HC82*HF82*VLOOKUP('Données projet'!$B$18,Paramètres!$A$1:$I$89,3,0)*0.475*44/12</f>
        <v>4.535657713401928E-7</v>
      </c>
      <c r="HJ82" s="22">
        <f t="shared" si="84"/>
        <v>2.6430180254110907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282</v>
      </c>
      <c r="L83" s="12">
        <f>VLOOKUP(A83,'Données projet'!$A$35:$I$55,9,0)</f>
        <v>6.1</v>
      </c>
      <c r="M83" s="12">
        <f t="array" ref="M83">INDEX(L:L,MIN(IF(ISNUMBER(L83:L279),ROW(L83:L279),"")))</f>
        <v>6.1</v>
      </c>
      <c r="N83" s="13">
        <f>IF('Données projet'!$A$36&gt;35,N82+M83-V82,IF(A83&lt;'Données projet'!$A$36,$K$205^A83,IF(A83='Données projet'!$A$36,'Données projet'!$B$36,N82+M83-V82)))</f>
        <v>282.00000000000028</v>
      </c>
      <c r="O83" s="13">
        <f>N83*VLOOKUP('Données projet'!$B$9,Paramètres!$A$1:$I$89,3,0)*VLOOKUP('Données projet'!$B$9,Paramètres!$A$1:$I$89,5,0)</f>
        <v>255.15360000000024</v>
      </c>
      <c r="P83" s="13">
        <f t="shared" si="87"/>
        <v>61.688192762754483</v>
      </c>
      <c r="Q83" s="20">
        <f t="shared" si="54"/>
        <v>551.83278906179783</v>
      </c>
      <c r="R83" s="59">
        <f t="shared" si="55"/>
        <v>845.1661223951312</v>
      </c>
      <c r="S83" s="59">
        <f ca="1">AVERAGE(OFFSET($R$3,0,0,'Données projet'!$E$9+1,1))-AVERAGE(OFFSET($H$3,0,0,'Données projet'!$E$9+1,1))</f>
        <v>237.22177246688199</v>
      </c>
      <c r="T83" s="59">
        <f t="shared" si="88"/>
        <v>149.27472147904302</v>
      </c>
      <c r="U83" s="15">
        <f>IF(ISNA(VLOOKUP(A83,'Données projet'!$A$35:$I$55,3,0)),0,VLOOKUP(A83,'Données projet'!$A$35:$I$55,3,0))</f>
        <v>6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0.77648454312247783</v>
      </c>
      <c r="AB83" s="21">
        <f>EXP(-LN(2)/2)*AB82+(1-EXP(-LN(2)/2))/(LN(2)/2)*V83*Y83*VLOOKUP('Données projet'!$B$9,Paramètres!$A$1:$I$89,3,0)*0.475*44/12</f>
        <v>1.8445694012726627E-7</v>
      </c>
      <c r="AC83" s="22">
        <f t="shared" si="57"/>
        <v>0.776484727579418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282</v>
      </c>
      <c r="AG83" s="12">
        <f>VLOOKUP(A83,'Données projet'!$A$61:$I$81,9,0)</f>
        <v>6.1</v>
      </c>
      <c r="AH83" s="12">
        <f t="array" ref="AH83">INDEX(AG:AG,MIN(IF(ISNUMBER(AG83:AG279),ROW(AG83:AG279),"")))</f>
        <v>6.1</v>
      </c>
      <c r="AI83" s="13">
        <f>IF('Données projet'!$A$62&gt;35,AI82+AH83-AQ82,IF(A83&lt;'Données projet'!$A$62,$AF$205^A83,IF(A83='Données projet'!$A$62,'Données projet'!$B$62,AI82+AH83-AQ82)))</f>
        <v>282.00000000000028</v>
      </c>
      <c r="AJ83" s="13">
        <f>AI83*VLOOKUP('Données projet'!$B$10,Paramètres!$A$1:$I$89,3,0)*VLOOKUP('Données projet'!$B$10,Paramètres!$A$1:$I$89,5,0)</f>
        <v>285.94800000000032</v>
      </c>
      <c r="AK83" s="13">
        <f t="shared" si="89"/>
        <v>68.222450362989434</v>
      </c>
      <c r="AL83" s="20">
        <f t="shared" si="58"/>
        <v>616.8468677155405</v>
      </c>
      <c r="AM83" s="59">
        <f t="shared" si="59"/>
        <v>910.18020104887387</v>
      </c>
      <c r="AN83" s="59">
        <f ca="1">AVERAGE(OFFSET($AM$3,0,0,'Données projet'!$E$10+1,1))-AVERAGE(OFFSET($H$3,0,0,'Données projet'!$E$10+1,1))</f>
        <v>279.20364724206644</v>
      </c>
      <c r="AO83" s="59">
        <f t="shared" si="90"/>
        <v>173.99850582760712</v>
      </c>
      <c r="AP83" s="15">
        <f>IF(ISNA(VLOOKUP(A83,'Données projet'!$A$61:$I$81,3,0)),0,VLOOKUP(A83,'Données projet'!$A$61:$I$81,3,0))</f>
        <v>6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0.87019819487863881</v>
      </c>
      <c r="AW83" s="21">
        <f>EXP(-LN(2)/2)*AW82+(1-EXP(-LN(2)/2))/(LN(2)/2)*AQ83*AT83*VLOOKUP('Données projet'!$B$10,Paramètres!$A$1:$I$89,3,0)*0.475*44/12</f>
        <v>2.0671898462538458E-7</v>
      </c>
      <c r="AX83" s="21">
        <f t="shared" si="60"/>
        <v>0.87019840159762341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533</v>
      </c>
      <c r="BB83" s="12">
        <f>VLOOKUP(A83,'Données projet'!$A$87:$I$107,9,0)</f>
        <v>17</v>
      </c>
      <c r="BC83" s="12">
        <f t="array" ref="BC83">INDEX(BB:BB,MIN(IF(ISNUMBER(BB83:BB279),ROW(BB83:BB279),"")))</f>
        <v>17</v>
      </c>
      <c r="BD83" s="12">
        <f>IF('Données projet'!$A$88&gt;35,BD82+BC83-BL82,IF(A83&lt;'Données projet'!$A$88,$BA$205^A83,IF(A83='Données projet'!$A$88,'Données projet'!$B$88,BD82+BC83-BL82)))</f>
        <v>532.99999999999989</v>
      </c>
      <c r="BE83" s="13">
        <f>BD83*VLOOKUP('Données projet'!$B$11,Paramètres!$A$1:$I$89,3,0)*VLOOKUP('Données projet'!$B$11,Paramètres!$A$1:$I$89,5,0)</f>
        <v>249.44399999999993</v>
      </c>
      <c r="BF83" s="13">
        <f t="shared" si="91"/>
        <v>60.466866397117599</v>
      </c>
      <c r="BG83" s="20">
        <f t="shared" si="61"/>
        <v>539.76142564164627</v>
      </c>
      <c r="BH83" s="59">
        <f t="shared" si="62"/>
        <v>833.09475897497964</v>
      </c>
      <c r="BI83" s="59">
        <f ca="1">AVERAGE(OFFSET($BH$3,0,0,'Données projet'!$E$11+1,1))-AVERAGE(OFFSET($H$3,0,0,'Données projet'!$E$11+1,1))</f>
        <v>215.23235148064941</v>
      </c>
      <c r="BJ83" s="59">
        <f t="shared" si="92"/>
        <v>184.07239726900434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83.4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1.1644925897848111</v>
      </c>
      <c r="BQ83" s="21">
        <f>EXP(-LN(2)/25)*BQ82+(1-EXP(-LN(2)/25))/(LN(2)/25)*Calculateur!BL83*Calculateur!BN83*VLOOKUP('Données projet'!$B$11,Paramètres!$A$1:$I$89,3,0)*0.475*44/12</f>
        <v>1.963866088498307</v>
      </c>
      <c r="BR83" s="21">
        <f>EXP(-LN(2)/2)*BR82+(1-EXP(-LN(2)/2))/(LN(2)/2)*BL83*BO83*VLOOKUP('Données projet'!$B$11,Paramètres!$A$1:$I$89,3,0)*0.475*44/12</f>
        <v>2.9302169323849654E-7</v>
      </c>
      <c r="BS83" s="22">
        <f t="shared" si="63"/>
        <v>3.1283589713048112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282</v>
      </c>
      <c r="BW83" s="12">
        <f>VLOOKUP(A83,'Données projet'!$A$113:$I$133,9,0)</f>
        <v>6.1</v>
      </c>
      <c r="BX83" s="12">
        <f t="array" ref="BX83">INDEX(BW:BW,MIN(IF(ISNUMBER(BW83:BW279),ROW(BW83:BW279),"")))</f>
        <v>6.1</v>
      </c>
      <c r="BY83" s="12">
        <f>IF('Données projet'!$A$114&gt;35,BY82+BX83-CG82,IF(A83&lt;'Données projet'!$A$114,$BV$205^A83,IF(A83='Données projet'!$A$114,'Données projet'!$B$114,BY82+BX83-CG82)))</f>
        <v>282.00000000000028</v>
      </c>
      <c r="BZ83" s="13">
        <f>BY83*VLOOKUP('Données projet'!$B$12,Paramètres!$A$1:$I$89,3,0)*VLOOKUP('Données projet'!$B$12,Paramètres!$A$1:$I$89,5,0)</f>
        <v>303.54480000000029</v>
      </c>
      <c r="CA83" s="13">
        <f t="shared" si="93"/>
        <v>71.919080904752576</v>
      </c>
      <c r="CB83" s="20">
        <f t="shared" si="64"/>
        <v>653.93292590911119</v>
      </c>
      <c r="CC83" s="59">
        <f t="shared" si="65"/>
        <v>947.26625924244445</v>
      </c>
      <c r="CD83" s="59">
        <f ca="1">AVERAGE(OFFSET($CC$3,0,0,'Données projet'!$E$12+1,1))-AVERAGE(OFFSET($H$3,0,0,'Données projet'!$E$12+1,1))</f>
        <v>303.1504619632214</v>
      </c>
      <c r="CE83" s="59">
        <f t="shared" si="94"/>
        <v>188.09929616366503</v>
      </c>
      <c r="CF83" s="15">
        <f>IF(ISNA(VLOOKUP(A83,'Données projet'!$A$113:$I$133,3,0)),0,VLOOKUP(A83,'Données projet'!$A$113:$I$133,3,0))</f>
        <v>6</v>
      </c>
      <c r="CG83" s="15">
        <f>IF(ISNA(VLOOKUP(A83,'Données projet'!$A$113:$I$133,4,0)),0,VLOOKUP(A83,'Données projet'!$A$113:$I$133,4,0))</f>
        <v>42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0.92374885302501686</v>
      </c>
      <c r="CM83" s="21">
        <f>EXP(-LN(2)/2)*CM82+(1-EXP(-LN(2)/2))/(LN(2)/2)*CG83*CJ83*VLOOKUP('Données projet'!$B$12,Paramètres!$A$1:$I$89,3,0)*0.475*44/12</f>
        <v>2.1944015291002404E-7</v>
      </c>
      <c r="CN83" s="22">
        <f t="shared" si="66"/>
        <v>0.9237490724651698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284</v>
      </c>
      <c r="CR83" s="12">
        <f>VLOOKUP(A83,'Données projet'!$A$139:$I$159,9,0)</f>
        <v>3.1</v>
      </c>
      <c r="CS83" s="12">
        <f t="array" ref="CS83">INDEX(CR:CR,MIN(IF(ISNUMBER(CR83:CR279),ROW(CR83:CR279),"")))</f>
        <v>3.1</v>
      </c>
      <c r="CT83" s="12">
        <f>IF('Données projet'!$A$140&gt;35,CT82+CS83-DB82,IF(A83&lt;'Données projet'!$A$140,$CQ$205^A83,IF(A83='Données projet'!$A$140,'Données projet'!$B$140,CT82+CS83-DB82)))</f>
        <v>284.00000000000006</v>
      </c>
      <c r="CU83" s="17">
        <f>CT83*VLOOKUP('Données projet'!$B$13,Paramètres!$A$1:$I$89,3,0)*VLOOKUP('Données projet'!$B$13,Paramètres!$A$1:$I$89,5,0)</f>
        <v>190.50720000000004</v>
      </c>
      <c r="CV83" s="13">
        <f t="shared" si="95"/>
        <v>47.652070165548515</v>
      </c>
      <c r="CW83" s="20">
        <f t="shared" si="67"/>
        <v>414.79406220499703</v>
      </c>
      <c r="CX83" s="59">
        <f t="shared" si="68"/>
        <v>708.12739553833035</v>
      </c>
      <c r="CY83" s="59">
        <f ca="1">AVERAGE(OFFSET($CX$3,0,0,'Données projet'!$E$13+1,1))-AVERAGE(OFFSET($H$3,0,0,'Données projet'!$E$13+1,1))</f>
        <v>156.63226020379989</v>
      </c>
      <c r="CZ83" s="59">
        <f t="shared" si="96"/>
        <v>196.0481096619543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284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2.1674901381603364</v>
      </c>
      <c r="DH83" s="21">
        <f>EXP(-LN(2)/2)*DH82+(1-EXP(-LN(2)/2))/(LN(2)/2)*DB83*DE83*VLOOKUP('Données projet'!$B$13,Paramètres!$A$1:$I$89,3,0)*0.475*44/12</f>
        <v>2.7041050202032457E-7</v>
      </c>
      <c r="DI83" s="22">
        <f t="shared" si="69"/>
        <v>2.1674904085708384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-8.5265128291212022E-14</v>
      </c>
      <c r="DP83" s="17">
        <f>DO83*VLOOKUP('Données projet'!$B$14,Paramètres!$A$1:$I$89,3,0)*VLOOKUP('Données projet'!$B$14,Paramètres!$A$1:$I$89,5,0)</f>
        <v>-7.7147888077888636E-14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225.28075317732998</v>
      </c>
      <c r="DU83" s="59">
        <f t="shared" si="98"/>
        <v>358.43407531256207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0.83346599451148484</v>
      </c>
      <c r="EB83" s="21">
        <f>EXP(-LN(2)/25)*EB82+(1-EXP(-LN(2)/25))/(LN(2)/25)*Calculateur!DW83*Calculateur!DY83*VLOOKUP('Données projet'!$B$14,Paramètres!$A$1:$I$89,3,0)*0.475*44/12</f>
        <v>2.0680141700153065</v>
      </c>
      <c r="EC83" s="21">
        <f>EXP(-LN(2)/2)*EC82+(1-EXP(-LN(2)/2))/(LN(2)/2)*DW83*DZ83*VLOOKUP('Données projet'!$B$14,Paramètres!$A$1:$I$89,3,0)*0.475*44/12</f>
        <v>1.3154808029441606E-7</v>
      </c>
      <c r="ED83" s="22">
        <f t="shared" si="72"/>
        <v>2.901480296074872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651</v>
      </c>
      <c r="EH83" s="12">
        <f>VLOOKUP(A83,'Données projet'!$A$191:$I$211,9,0)</f>
        <v>10.4</v>
      </c>
      <c r="EI83" s="12">
        <f t="array" ref="EI83">INDEX(EH:EH,MIN(IF(ISNUMBER(EH83:EH279),ROW(EH83:EH279),"")))</f>
        <v>10.4</v>
      </c>
      <c r="EJ83" s="12">
        <f>IF('Données projet'!$A$192&gt;35,EJ82+EI83-ER82,IF(A83&lt;'Données projet'!$A$192,$EG$205^A83,IF(A83='Données projet'!$A$192,'Données projet'!$B$192,EJ82+EI83-ER82)))</f>
        <v>650.99999999999943</v>
      </c>
      <c r="EK83" s="17">
        <f>EJ83*VLOOKUP('Données projet'!$B$15,Paramètres!$A$1:$I$89,3,0)*VLOOKUP('Données projet'!$B$15,Paramètres!$A$1:$I$89,5,0)</f>
        <v>363.90899999999971</v>
      </c>
      <c r="EL83" s="13">
        <f t="shared" si="99"/>
        <v>84.4199906692578</v>
      </c>
      <c r="EM83" s="20">
        <f t="shared" si="73"/>
        <v>780.83965874895682</v>
      </c>
      <c r="EN83" s="59">
        <f t="shared" si="74"/>
        <v>1074.1729920822902</v>
      </c>
      <c r="EO83" s="59">
        <f ca="1">AVERAGE(OFFSET($EN$3,0,0,'Données projet'!$E$15+1,1))-AVERAGE(OFFSET($H$3,0,0,'Données projet'!$E$15+1,1))</f>
        <v>326.31232746914907</v>
      </c>
      <c r="EP83" s="59">
        <f t="shared" si="100"/>
        <v>330.17137761430297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651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1.6969850860577511</v>
      </c>
      <c r="EW83" s="21">
        <f>EXP(-LN(2)/25)*EW82+(1-EXP(-LN(2)/25))/(LN(2)/25)*Calculateur!ER83*Calculateur!ET83*VLOOKUP('Données projet'!$B$15,Paramètres!$A$1:$I$89,3,0)*0.475*44/12</f>
        <v>7.5432370671339291</v>
      </c>
      <c r="EX83" s="21">
        <f>EXP(-LN(2)/2)*EX82+(1-EXP(-LN(2)/2))/(LN(2)/2)*ER83*EU83*VLOOKUP('Données projet'!$B$15,Paramètres!$A$1:$I$89,3,0)*0.475*44/12</f>
        <v>9.6923376233682757E-7</v>
      </c>
      <c r="EY83" s="22">
        <f t="shared" si="75"/>
        <v>9.2402231224254425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442</v>
      </c>
      <c r="FC83" s="12">
        <f>VLOOKUP(A83,'Données projet'!$A$217:$I$237,9,0)</f>
        <v>6</v>
      </c>
      <c r="FD83" s="12">
        <f t="array" ref="FD83">INDEX(FC:FC,MIN(IF(ISNUMBER(FC83:FC279),ROW(FC83:FC279),"")))</f>
        <v>6</v>
      </c>
      <c r="FE83" s="12">
        <f>IF('Données projet'!$A$218&gt;35,FE82+FD83-FM82,IF(A83&lt;'Données projet'!$A$218,$FB$205^A83,IF(A83='Données projet'!$A$218,'Données projet'!$B$218,FE82+FD83-FM82)))</f>
        <v>442</v>
      </c>
      <c r="FF83" s="17">
        <f>FE83*VLOOKUP('Données projet'!$B$16,Paramètres!$A$1:$I$89,3,0)*VLOOKUP('Données projet'!$B$16,Paramètres!$A$1:$I$89,5,0)</f>
        <v>275.80799999999999</v>
      </c>
      <c r="FG83" s="13">
        <f t="shared" si="101"/>
        <v>66.08034253144065</v>
      </c>
      <c r="FH83" s="20">
        <f t="shared" si="76"/>
        <v>595.45552990892566</v>
      </c>
      <c r="FI83" s="59">
        <f t="shared" si="77"/>
        <v>888.78886324225891</v>
      </c>
      <c r="FJ83" s="59">
        <f ca="1">AVERAGE(OFFSET($FI$3,0,0,'Données projet'!$E$16+1,1))-AVERAGE(OFFSET($H$3,0,0,'Données projet'!$E$16+1,1))</f>
        <v>255.41017495879987</v>
      </c>
      <c r="FK83" s="59">
        <f t="shared" si="102"/>
        <v>297.50513563712764</v>
      </c>
      <c r="FL83" s="15">
        <f>IF(ISNA(VLOOKUP(A83,'Données projet'!$A$217:$I$237,3,0)),0,VLOOKUP(A83,'Données projet'!$A$217:$I$237,3,0))</f>
        <v>7</v>
      </c>
      <c r="FM83" s="15">
        <f>IF(ISNA(VLOOKUP(A83,'Données projet'!$A$217:$I$237,4,0)),0,VLOOKUP(A83,'Données projet'!$A$217:$I$237,4,0))</f>
        <v>442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3.0997782544479833</v>
      </c>
      <c r="FR83" s="21">
        <f>EXP(-LN(2)/25)*FR82+(1-EXP(-LN(2)/25))/(LN(2)/25)*Calculateur!FM83*Calculateur!FO83*VLOOKUP('Données projet'!$B$16,Paramètres!$A$1:$I$89,3,0)*0.475*44/12</f>
        <v>6.9674669274648551</v>
      </c>
      <c r="FS83" s="21">
        <f>EXP(-LN(2)/2)*FS82+(1-EXP(-LN(2)/2))/(LN(2)/2)*FM83*FP83*VLOOKUP('Données projet'!$B$16,Paramètres!$A$1:$I$89,3,0)*0.475*44/12</f>
        <v>7.2721216490602135E-7</v>
      </c>
      <c r="FT83" s="22">
        <f t="shared" si="78"/>
        <v>10.067245909125003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522</v>
      </c>
      <c r="FX83" s="12">
        <f>VLOOKUP(A83,'Données projet'!$A$243:$I$263,9,0)</f>
        <v>8.1999999999999993</v>
      </c>
      <c r="FY83" s="12">
        <f t="array" ref="FY83">INDEX(FX:FX,MIN(IF(ISNUMBER(FX83:FX279),ROW(FX83:FX279),"")))</f>
        <v>8.1999999999999993</v>
      </c>
      <c r="FZ83" s="12">
        <f>IF('Données projet'!$A$244&gt;35,FZ82+FY83-GH82,IF(A83&lt;'Données projet'!$A$244,$FW$205^A83,IF(A83='Données projet'!$A$244,'Données projet'!$B$244,FZ82+FY83-GH82)))</f>
        <v>522.00000000000011</v>
      </c>
      <c r="GA83" s="17">
        <f>FZ83*VLOOKUP('Données projet'!$B$17,Paramètres!$A$1:$I$89,3,0)*VLOOKUP('Données projet'!$B$17,Paramètres!$A$1:$I$89,5,0)</f>
        <v>312.15600000000006</v>
      </c>
      <c r="GB83" s="13">
        <f t="shared" si="103"/>
        <v>73.718907001002549</v>
      </c>
      <c r="GC83" s="20">
        <f t="shared" si="79"/>
        <v>672.06546302674622</v>
      </c>
      <c r="GD83" s="59">
        <f t="shared" si="80"/>
        <v>965.39879636007959</v>
      </c>
      <c r="GE83" s="59">
        <f ca="1">AVERAGE(OFFSET($GD$3,0,0,'Données projet'!$E$17+1,1))-AVERAGE(OFFSET($H$3,0,0,'Données projet'!$E$17+1,1))</f>
        <v>259.30247982593914</v>
      </c>
      <c r="GF83" s="59">
        <f t="shared" si="104"/>
        <v>275.24740346220779</v>
      </c>
      <c r="GG83" s="15">
        <f>IF(ISNA(VLOOKUP(A83,'Données projet'!$A$243:$I$263,3,0)),0,VLOOKUP(A83,'Données projet'!$A$243:$I$263,3,0))</f>
        <v>7</v>
      </c>
      <c r="GH83" s="15">
        <f>IF(ISNA(VLOOKUP(A83,'Données projet'!$A$243:$I$263,4,0)),0,VLOOKUP(A83,'Données projet'!$A$243:$I$263,4,0))</f>
        <v>522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</v>
      </c>
      <c r="GM83" s="21">
        <f>EXP(-LN(2)/25)*GM82+(1-EXP(-LN(2)/25))/(LN(2)/25)*Calculateur!GH83*Calculateur!GJ83*VLOOKUP('Données projet'!$B$17,Paramètres!$A$1:$I$89,3,0)*0.475*44/12</f>
        <v>4.5082532579994643</v>
      </c>
      <c r="GN83" s="21">
        <f>EXP(-LN(2)/2)*GN82+(1-EXP(-LN(2)/2))/(LN(2)/2)*GH83*GK83*VLOOKUP('Données projet'!$B$17,Paramètres!$A$1:$I$89,3,0)*0.475*44/12</f>
        <v>8.5474461859062423E-7</v>
      </c>
      <c r="GO83" s="21">
        <f t="shared" si="81"/>
        <v>4.5082541127440825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284</v>
      </c>
      <c r="GS83" s="12">
        <f>VLOOKUP(A83,'Données projet'!$A$269:$I$289,9,0)</f>
        <v>3.1</v>
      </c>
      <c r="GT83" s="12">
        <f t="array" ref="GT83">INDEX(GS:GS,MIN(IF(ISNUMBER(GS83:GS279),ROW(GS83:GS279),"")))</f>
        <v>3.1</v>
      </c>
      <c r="GU83" s="12">
        <f>IF('Données projet'!$A$270&gt;35,GU82+GT83-HC82,IF(A83&lt;'Données projet'!$A$270,$GR$205^A83,IF(A83='Données projet'!$A$270,'Données projet'!$B$270,GU82+GT83-HC82)))</f>
        <v>284.00000000000006</v>
      </c>
      <c r="GV83" s="17">
        <f>GU83*VLOOKUP('Données projet'!$B$18,Paramètres!$A$1:$I$89,3,0)*VLOOKUP('Données projet'!$B$18,Paramètres!$A$1:$I$89,5,0)</f>
        <v>225.95040000000006</v>
      </c>
      <c r="GW83" s="13">
        <f t="shared" si="105"/>
        <v>55.406160129335312</v>
      </c>
      <c r="GX83" s="20">
        <f t="shared" si="82"/>
        <v>490.02934222525914</v>
      </c>
      <c r="GY83" s="59">
        <f t="shared" si="83"/>
        <v>783.3626755585924</v>
      </c>
      <c r="GZ83" s="59">
        <f ca="1">AVERAGE(OFFSET($GY$3,0,0,'Données projet'!$E$18+1,1))-AVERAGE(OFFSET($H$3,0,0,'Données projet'!$E$18+1,1))</f>
        <v>199.58763537752952</v>
      </c>
      <c r="HA83" s="59">
        <f t="shared" si="106"/>
        <v>242.62852778451929</v>
      </c>
      <c r="HB83" s="15">
        <f>IF(ISNA(VLOOKUP(A83,'Données projet'!$A$269:$I$289,3,0)),0,VLOOKUP(A83,'Données projet'!$A$269:$I$289,3,0))</f>
        <v>7</v>
      </c>
      <c r="HC83" s="15">
        <f>IF(ISNA(VLOOKUP(A83,'Données projet'!$A$269:$I$289,4,0)),0,VLOOKUP(A83,'Données projet'!$A$269:$I$289,4,0))</f>
        <v>284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0</v>
      </c>
      <c r="HH83" s="21">
        <f>EXP(-LN(2)/25)*HH82+(1-EXP(-LN(2)/25))/(LN(2)/25)*Calculateur!HC83*Calculateur!HE83*VLOOKUP('Données projet'!$B$18,Paramètres!$A$1:$I$89,3,0)*0.475*44/12</f>
        <v>2.5707441173529557</v>
      </c>
      <c r="HI83" s="21">
        <f>EXP(-LN(2)/2)*HI82+(1-EXP(-LN(2)/2))/(LN(2)/2)*HC83*HF83*VLOOKUP('Données projet'!$B$18,Paramètres!$A$1:$I$89,3,0)*0.475*44/12</f>
        <v>3.2071943262875735E-7</v>
      </c>
      <c r="HJ83" s="22">
        <f t="shared" si="84"/>
        <v>2.5707444380723885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5.6</v>
      </c>
      <c r="N84" s="13">
        <f>IF('Données projet'!$A$36&gt;35,N83+M84-V83,IF(A84&lt;'Données projet'!$A$36,$K$205^A84,IF(A84='Données projet'!$A$36,'Données projet'!$B$36,N83+M84-V83)))</f>
        <v>245.60000000000031</v>
      </c>
      <c r="O84" s="13">
        <f>N84*VLOOKUP('Données projet'!$B$9,Paramètres!$A$1:$I$89,3,0)*VLOOKUP('Données projet'!$B$9,Paramètres!$A$1:$I$89,5,0)</f>
        <v>222.2188800000003</v>
      </c>
      <c r="P84" s="13">
        <f t="shared" si="87"/>
        <v>54.596866296848951</v>
      </c>
      <c r="Q84" s="20">
        <f t="shared" si="54"/>
        <v>482.12075813367898</v>
      </c>
      <c r="R84" s="59">
        <f t="shared" si="55"/>
        <v>775.45409146701229</v>
      </c>
      <c r="S84" s="59">
        <f ca="1">AVERAGE(OFFSET($R$3,0,0,'Données projet'!$E$9+1,1))-AVERAGE(OFFSET($H$3,0,0,'Données projet'!$E$9+1,1))</f>
        <v>237.22177246688199</v>
      </c>
      <c r="T84" s="59">
        <f t="shared" si="88"/>
        <v>149.27472147904302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0.75525153245724619</v>
      </c>
      <c r="AB84" s="21">
        <f>EXP(-LN(2)/2)*AB83+(1-EXP(-LN(2)/2))/(LN(2)/2)*V84*Y84*VLOOKUP('Données projet'!$B$9,Paramètres!$A$1:$I$89,3,0)*0.475*44/12</f>
        <v>1.3043075320091096E-7</v>
      </c>
      <c r="AC84" s="22">
        <f t="shared" si="57"/>
        <v>0.75525166288799939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5.6</v>
      </c>
      <c r="AI84" s="13">
        <f>IF('Données projet'!$A$62&gt;35,AI83+AH84-AQ83,IF(A84&lt;'Données projet'!$A$62,$AF$205^A84,IF(A84='Données projet'!$A$62,'Données projet'!$B$62,AI83+AH84-AQ83)))</f>
        <v>245.60000000000031</v>
      </c>
      <c r="AJ84" s="13">
        <f>AI84*VLOOKUP('Données projet'!$B$10,Paramètres!$A$1:$I$89,3,0)*VLOOKUP('Données projet'!$B$10,Paramètres!$A$1:$I$89,5,0)</f>
        <v>249.03840000000034</v>
      </c>
      <c r="AK84" s="13">
        <f t="shared" si="89"/>
        <v>60.379982523340054</v>
      </c>
      <c r="AL84" s="20">
        <f t="shared" si="58"/>
        <v>538.90368289481785</v>
      </c>
      <c r="AM84" s="59">
        <f t="shared" si="59"/>
        <v>832.23701622815111</v>
      </c>
      <c r="AN84" s="59">
        <f ca="1">AVERAGE(OFFSET($AM$3,0,0,'Données projet'!$E$10+1,1))-AVERAGE(OFFSET($H$3,0,0,'Données projet'!$E$10+1,1))</f>
        <v>279.20364724206644</v>
      </c>
      <c r="AO84" s="59">
        <f t="shared" si="90"/>
        <v>173.99850582760712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0.84640257947794828</v>
      </c>
      <c r="AW84" s="21">
        <f>EXP(-LN(2)/2)*AW83+(1-EXP(-LN(2)/2))/(LN(2)/2)*AQ84*AT84*VLOOKUP('Données projet'!$B$10,Paramètres!$A$1:$I$89,3,0)*0.475*44/12</f>
        <v>1.4617239582860709E-7</v>
      </c>
      <c r="AX84" s="21">
        <f t="shared" si="60"/>
        <v>0.84640272565034413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17.5</v>
      </c>
      <c r="BD84" s="12">
        <f>IF('Données projet'!$A$88&gt;35,BD83+BC84-BL83,IF(A84&lt;'Données projet'!$A$88,$BA$205^A84,IF(A84='Données projet'!$A$88,'Données projet'!$B$88,BD83+BC84-BL83)))</f>
        <v>467.09999999999991</v>
      </c>
      <c r="BE84" s="13">
        <f>BD84*VLOOKUP('Données projet'!$B$11,Paramètres!$A$1:$I$89,3,0)*VLOOKUP('Données projet'!$B$11,Paramètres!$A$1:$I$89,5,0)</f>
        <v>218.60279999999995</v>
      </c>
      <c r="BF84" s="13">
        <f t="shared" si="91"/>
        <v>53.811098692658383</v>
      </c>
      <c r="BG84" s="20">
        <f t="shared" si="61"/>
        <v>474.45420688971325</v>
      </c>
      <c r="BH84" s="59">
        <f t="shared" si="62"/>
        <v>767.78754022304656</v>
      </c>
      <c r="BI84" s="59">
        <f ca="1">AVERAGE(OFFSET($BH$3,0,0,'Données projet'!$E$11+1,1))-AVERAGE(OFFSET($H$3,0,0,'Données projet'!$E$11+1,1))</f>
        <v>215.23235148064941</v>
      </c>
      <c r="BJ84" s="59">
        <f t="shared" si="92"/>
        <v>184.07239726900434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1.1416576003694774</v>
      </c>
      <c r="BQ84" s="21">
        <f>EXP(-LN(2)/25)*BQ83+(1-EXP(-LN(2)/25))/(LN(2)/25)*Calculateur!BL84*Calculateur!BN84*VLOOKUP('Données projet'!$B$11,Paramètres!$A$1:$I$89,3,0)*0.475*44/12</f>
        <v>1.9101640670330917</v>
      </c>
      <c r="BR84" s="21">
        <f>EXP(-LN(2)/2)*BR83+(1-EXP(-LN(2)/2))/(LN(2)/2)*BL84*BO84*VLOOKUP('Données projet'!$B$11,Paramètres!$A$1:$I$89,3,0)*0.475*44/12</f>
        <v>2.0719762632370523E-7</v>
      </c>
      <c r="BS84" s="22">
        <f t="shared" si="63"/>
        <v>3.0518218746001953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5.6</v>
      </c>
      <c r="BY84" s="12">
        <f>IF('Données projet'!$A$114&gt;35,BY83+BX84-CG83,IF(A84&lt;'Données projet'!$A$114,$BV$205^A84,IF(A84='Données projet'!$A$114,'Données projet'!$B$114,BY83+BX84-CG83)))</f>
        <v>245.60000000000031</v>
      </c>
      <c r="BZ84" s="13">
        <f>BY84*VLOOKUP('Données projet'!$B$12,Paramètres!$A$1:$I$89,3,0)*VLOOKUP('Données projet'!$B$12,Paramètres!$A$1:$I$89,5,0)</f>
        <v>264.36384000000032</v>
      </c>
      <c r="CA84" s="13">
        <f t="shared" si="93"/>
        <v>63.651669282160874</v>
      </c>
      <c r="CB84" s="20">
        <f t="shared" si="64"/>
        <v>571.29367866643076</v>
      </c>
      <c r="CC84" s="59">
        <f t="shared" si="65"/>
        <v>864.62701199976414</v>
      </c>
      <c r="CD84" s="59">
        <f ca="1">AVERAGE(OFFSET($CC$3,0,0,'Données projet'!$E$12+1,1))-AVERAGE(OFFSET($H$3,0,0,'Données projet'!$E$12+1,1))</f>
        <v>303.1504619632214</v>
      </c>
      <c r="CE84" s="59">
        <f t="shared" si="94"/>
        <v>188.09929616366503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0.89848889206120686</v>
      </c>
      <c r="CM84" s="21">
        <f>EXP(-LN(2)/2)*CM83+(1-EXP(-LN(2)/2))/(LN(2)/2)*CG84*CJ84*VLOOKUP('Données projet'!$B$12,Paramètres!$A$1:$I$89,3,0)*0.475*44/12</f>
        <v>1.551676201872909E-7</v>
      </c>
      <c r="CN84" s="22">
        <f t="shared" si="66"/>
        <v>0.89848904722882705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5.6843418860808015E-14</v>
      </c>
      <c r="CU84" s="17">
        <f>CT84*VLOOKUP('Données projet'!$B$13,Paramètres!$A$1:$I$89,3,0)*VLOOKUP('Données projet'!$B$13,Paramètres!$A$1:$I$89,5,0)</f>
        <v>3.813056537183002E-14</v>
      </c>
      <c r="CV84" s="13">
        <f t="shared" si="95"/>
        <v>6.4086286045526829E-13</v>
      </c>
      <c r="CW84" s="20">
        <f t="shared" si="67"/>
        <v>1.1825802166488628E-12</v>
      </c>
      <c r="CX84" s="59">
        <f t="shared" si="68"/>
        <v>293.33333333333451</v>
      </c>
      <c r="CY84" s="59">
        <f ca="1">AVERAGE(OFFSET($CX$3,0,0,'Données projet'!$E$13+1,1))-AVERAGE(OFFSET($H$3,0,0,'Données projet'!$E$13+1,1))</f>
        <v>156.63226020379989</v>
      </c>
      <c r="CZ84" s="59">
        <f t="shared" si="96"/>
        <v>196.0481096619543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2.1082200063489895</v>
      </c>
      <c r="DH84" s="21">
        <f>EXP(-LN(2)/2)*DH83+(1-EXP(-LN(2)/2))/(LN(2)/2)*DB84*DE84*VLOOKUP('Données projet'!$B$13,Paramètres!$A$1:$I$89,3,0)*0.475*44/12</f>
        <v>1.9120909968263012E-7</v>
      </c>
      <c r="DI84" s="22">
        <f t="shared" si="69"/>
        <v>2.1082201975580892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-8.5265128291212022E-14</v>
      </c>
      <c r="DP84" s="17">
        <f>DO84*VLOOKUP('Données projet'!$B$14,Paramètres!$A$1:$I$89,3,0)*VLOOKUP('Données projet'!$B$14,Paramètres!$A$1:$I$89,5,0)</f>
        <v>-7.7147888077888636E-14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225.28075317732998</v>
      </c>
      <c r="DU84" s="59">
        <f t="shared" si="98"/>
        <v>358.43407531256207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0.81712223472317447</v>
      </c>
      <c r="EB84" s="21">
        <f>EXP(-LN(2)/25)*EB83+(1-EXP(-LN(2)/25))/(LN(2)/25)*Calculateur!DW84*Calculateur!DY84*VLOOKUP('Données projet'!$B$14,Paramètres!$A$1:$I$89,3,0)*0.475*44/12</f>
        <v>2.0114642137840995</v>
      </c>
      <c r="EC84" s="21">
        <f>EXP(-LN(2)/2)*EC83+(1-EXP(-LN(2)/2))/(LN(2)/2)*DW84*DZ84*VLOOKUP('Données projet'!$B$14,Paramètres!$A$1:$I$89,3,0)*0.475*44/12</f>
        <v>9.3018539628254041E-8</v>
      </c>
      <c r="ED84" s="22">
        <f t="shared" si="72"/>
        <v>2.8285865415258136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-5.6843418860808015E-13</v>
      </c>
      <c r="EK84" s="17">
        <f>EJ84*VLOOKUP('Données projet'!$B$15,Paramètres!$A$1:$I$89,3,0)*VLOOKUP('Données projet'!$B$15,Paramètres!$A$1:$I$89,5,0)</f>
        <v>-3.177547114319168E-13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326.31232746914907</v>
      </c>
      <c r="EP84" s="59">
        <f t="shared" si="100"/>
        <v>330.17137761430297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1.6637082435788575</v>
      </c>
      <c r="EW84" s="21">
        <f>EXP(-LN(2)/25)*EW83+(1-EXP(-LN(2)/25))/(LN(2)/25)*Calculateur!ER84*Calculateur!ET84*VLOOKUP('Données projet'!$B$15,Paramètres!$A$1:$I$89,3,0)*0.475*44/12</f>
        <v>7.336966852851555</v>
      </c>
      <c r="EX84" s="21">
        <f>EXP(-LN(2)/2)*EX83+(1-EXP(-LN(2)/2))/(LN(2)/2)*ER84*EU84*VLOOKUP('Données projet'!$B$15,Paramètres!$A$1:$I$89,3,0)*0.475*44/12</f>
        <v>6.8535176590332133E-7</v>
      </c>
      <c r="EY84" s="22">
        <f t="shared" si="75"/>
        <v>9.0006757817821796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255.41017495879987</v>
      </c>
      <c r="FK84" s="59">
        <f t="shared" si="102"/>
        <v>297.50513563712764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3.0389934935563048</v>
      </c>
      <c r="FR84" s="21">
        <f>EXP(-LN(2)/25)*FR83+(1-EXP(-LN(2)/25))/(LN(2)/25)*Calculateur!FM84*Calculateur!FO84*VLOOKUP('Données projet'!$B$16,Paramètres!$A$1:$I$89,3,0)*0.475*44/12</f>
        <v>6.7769411779301674</v>
      </c>
      <c r="FS84" s="21">
        <f>EXP(-LN(2)/2)*FS83+(1-EXP(-LN(2)/2))/(LN(2)/2)*FM84*FP84*VLOOKUP('Données projet'!$B$16,Paramètres!$A$1:$I$89,3,0)*0.475*44/12</f>
        <v>5.1421665316639755E-7</v>
      </c>
      <c r="FT84" s="22">
        <f t="shared" si="78"/>
        <v>9.8159351857031254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1.1368683772161603E-13</v>
      </c>
      <c r="GA84" s="17">
        <f>FZ84*VLOOKUP('Données projet'!$B$17,Paramètres!$A$1:$I$89,3,0)*VLOOKUP('Données projet'!$B$17,Paramètres!$A$1:$I$89,5,0)</f>
        <v>6.7984728957526396E-14</v>
      </c>
      <c r="GB84" s="13">
        <f t="shared" si="103"/>
        <v>1.0682447123141398E-12</v>
      </c>
      <c r="GC84" s="20">
        <f t="shared" si="79"/>
        <v>1.978932943548152E-12</v>
      </c>
      <c r="GD84" s="59">
        <f t="shared" si="80"/>
        <v>293.3333333333353</v>
      </c>
      <c r="GE84" s="59">
        <f ca="1">AVERAGE(OFFSET($GD$3,0,0,'Données projet'!$E$17+1,1))-AVERAGE(OFFSET($H$3,0,0,'Données projet'!$E$17+1,1))</f>
        <v>259.30247982593914</v>
      </c>
      <c r="GF84" s="59">
        <f t="shared" si="104"/>
        <v>275.24740346220779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</v>
      </c>
      <c r="GM84" s="21">
        <f>EXP(-LN(2)/25)*GM83+(1-EXP(-LN(2)/25))/(LN(2)/25)*Calculateur!GH84*Calculateur!GJ84*VLOOKUP('Données projet'!$B$17,Paramètres!$A$1:$I$89,3,0)*0.475*44/12</f>
        <v>4.3849748355807341</v>
      </c>
      <c r="GN84" s="21">
        <f>EXP(-LN(2)/2)*GN83+(1-EXP(-LN(2)/2))/(LN(2)/2)*GH84*GK84*VLOOKUP('Données projet'!$B$17,Paramètres!$A$1:$I$89,3,0)*0.475*44/12</f>
        <v>6.0439571598813954E-7</v>
      </c>
      <c r="GO84" s="21">
        <f t="shared" si="81"/>
        <v>4.3849754399764498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5.6843418860808015E-14</v>
      </c>
      <c r="GV84" s="17">
        <f>GU84*VLOOKUP('Données projet'!$B$18,Paramètres!$A$1:$I$89,3,0)*VLOOKUP('Données projet'!$B$18,Paramètres!$A$1:$I$89,5,0)</f>
        <v>4.5224624045658861E-14</v>
      </c>
      <c r="GW84" s="13">
        <f t="shared" si="105"/>
        <v>7.4514601661523691E-13</v>
      </c>
      <c r="GX84" s="20">
        <f t="shared" si="82"/>
        <v>1.3765621991510601E-12</v>
      </c>
      <c r="GY84" s="59">
        <f t="shared" si="83"/>
        <v>293.33333333333468</v>
      </c>
      <c r="GZ84" s="59">
        <f ca="1">AVERAGE(OFFSET($GY$3,0,0,'Données projet'!$E$18+1,1))-AVERAGE(OFFSET($H$3,0,0,'Données projet'!$E$18+1,1))</f>
        <v>199.58763537752952</v>
      </c>
      <c r="HA84" s="59">
        <f t="shared" si="106"/>
        <v>242.62852778451929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0</v>
      </c>
      <c r="HH84" s="21">
        <f>EXP(-LN(2)/25)*HH83+(1-EXP(-LN(2)/25))/(LN(2)/25)*Calculateur!HC84*Calculateur!HE84*VLOOKUP('Données projet'!$B$18,Paramètres!$A$1:$I$89,3,0)*0.475*44/12</f>
        <v>2.5004469842743817</v>
      </c>
      <c r="HI84" s="21">
        <f>EXP(-LN(2)/2)*HI83+(1-EXP(-LN(2)/2))/(LN(2)/2)*HC84*HF84*VLOOKUP('Données projet'!$B$18,Paramètres!$A$1:$I$89,3,0)*0.475*44/12</f>
        <v>2.267828856700964E-7</v>
      </c>
      <c r="HJ84" s="22">
        <f t="shared" si="84"/>
        <v>2.5004472110572675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5.6</v>
      </c>
      <c r="N85" s="13">
        <f>IF('Données projet'!$A$36&gt;35,N84+M85-V84,IF(A85&lt;'Données projet'!$A$36,$K$205^A85,IF(A85='Données projet'!$A$36,'Données projet'!$B$36,N84+M85-V84)))</f>
        <v>251.2000000000003</v>
      </c>
      <c r="O85" s="13">
        <f>N85*VLOOKUP('Données projet'!$B$9,Paramètres!$A$1:$I$89,3,0)*VLOOKUP('Données projet'!$B$9,Paramètres!$A$1:$I$89,5,0)</f>
        <v>227.28576000000027</v>
      </c>
      <c r="P85" s="13">
        <f t="shared" si="87"/>
        <v>55.695394520076427</v>
      </c>
      <c r="Q85" s="20">
        <f t="shared" si="54"/>
        <v>492.85884412246696</v>
      </c>
      <c r="R85" s="59">
        <f t="shared" si="55"/>
        <v>786.19217745580022</v>
      </c>
      <c r="S85" s="59">
        <f ca="1">AVERAGE(OFFSET($R$3,0,0,'Données projet'!$E$9+1,1))-AVERAGE(OFFSET($H$3,0,0,'Données projet'!$E$9+1,1))</f>
        <v>237.22177246688199</v>
      </c>
      <c r="T85" s="59">
        <f t="shared" si="88"/>
        <v>149.27472147904302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0.7345991395852508</v>
      </c>
      <c r="AB85" s="21">
        <f>EXP(-LN(2)/2)*AB84+(1-EXP(-LN(2)/2))/(LN(2)/2)*V85*Y85*VLOOKUP('Données projet'!$B$9,Paramètres!$A$1:$I$89,3,0)*0.475*44/12</f>
        <v>9.2228470063633133E-8</v>
      </c>
      <c r="AC85" s="22">
        <f t="shared" si="57"/>
        <v>0.73459923181372089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5.6</v>
      </c>
      <c r="AI85" s="13">
        <f>IF('Données projet'!$A$62&gt;35,AI84+AH85-AQ84,IF(A85&lt;'Données projet'!$A$62,$AF$205^A85,IF(A85='Données projet'!$A$62,'Données projet'!$B$62,AI84+AH85-AQ84)))</f>
        <v>251.2000000000003</v>
      </c>
      <c r="AJ85" s="13">
        <f>AI85*VLOOKUP('Données projet'!$B$10,Paramètres!$A$1:$I$89,3,0)*VLOOKUP('Données projet'!$B$10,Paramètres!$A$1:$I$89,5,0)</f>
        <v>254.71680000000032</v>
      </c>
      <c r="AK85" s="13">
        <f t="shared" si="89"/>
        <v>61.594871205031644</v>
      </c>
      <c r="AL85" s="20">
        <f t="shared" si="58"/>
        <v>550.9094940154306</v>
      </c>
      <c r="AM85" s="59">
        <f t="shared" si="59"/>
        <v>844.24282734876397</v>
      </c>
      <c r="AN85" s="59">
        <f ca="1">AVERAGE(OFFSET($AM$3,0,0,'Données projet'!$E$10+1,1))-AVERAGE(OFFSET($H$3,0,0,'Données projet'!$E$10+1,1))</f>
        <v>279.20364724206644</v>
      </c>
      <c r="AO85" s="59">
        <f t="shared" si="90"/>
        <v>173.99850582760712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0.82325765643174664</v>
      </c>
      <c r="AW85" s="21">
        <f>EXP(-LN(2)/2)*AW84+(1-EXP(-LN(2)/2))/(LN(2)/2)*AQ85*AT85*VLOOKUP('Données projet'!$B$10,Paramètres!$A$1:$I$89,3,0)*0.475*44/12</f>
        <v>1.0335949231269229E-7</v>
      </c>
      <c r="AX85" s="21">
        <f t="shared" si="60"/>
        <v>0.82325775979123894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17.5</v>
      </c>
      <c r="BD85" s="12">
        <f>IF('Données projet'!$A$88&gt;35,BD84+BC85-BL84,IF(A85&lt;'Données projet'!$A$88,$BA$205^A85,IF(A85='Données projet'!$A$88,'Données projet'!$B$88,BD84+BC85-BL84)))</f>
        <v>484.59999999999991</v>
      </c>
      <c r="BE85" s="13">
        <f>BD85*VLOOKUP('Données projet'!$B$11,Paramètres!$A$1:$I$89,3,0)*VLOOKUP('Données projet'!$B$11,Paramètres!$A$1:$I$89,5,0)</f>
        <v>226.79279999999994</v>
      </c>
      <c r="BF85" s="13">
        <f t="shared" si="91"/>
        <v>55.588644170072158</v>
      </c>
      <c r="BG85" s="20">
        <f t="shared" si="61"/>
        <v>491.8143485962089</v>
      </c>
      <c r="BH85" s="59">
        <f t="shared" si="62"/>
        <v>785.14768192954216</v>
      </c>
      <c r="BI85" s="59">
        <f ca="1">AVERAGE(OFFSET($BH$3,0,0,'Données projet'!$E$11+1,1))-AVERAGE(OFFSET($H$3,0,0,'Données projet'!$E$11+1,1))</f>
        <v>215.23235148064941</v>
      </c>
      <c r="BJ85" s="59">
        <f t="shared" si="92"/>
        <v>184.07239726900434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1.1192703911686102</v>
      </c>
      <c r="BQ85" s="21">
        <f>EXP(-LN(2)/25)*BQ84+(1-EXP(-LN(2)/25))/(LN(2)/25)*Calculateur!BL85*Calculateur!BN85*VLOOKUP('Données projet'!$B$11,Paramètres!$A$1:$I$89,3,0)*0.475*44/12</f>
        <v>1.8579305301689093</v>
      </c>
      <c r="BR85" s="21">
        <f>EXP(-LN(2)/2)*BR84+(1-EXP(-LN(2)/2))/(LN(2)/2)*BL85*BO85*VLOOKUP('Données projet'!$B$11,Paramètres!$A$1:$I$89,3,0)*0.475*44/12</f>
        <v>1.4651084661924827E-7</v>
      </c>
      <c r="BS85" s="22">
        <f t="shared" si="63"/>
        <v>2.977201067848366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5.6</v>
      </c>
      <c r="BY85" s="12">
        <f>IF('Données projet'!$A$114&gt;35,BY84+BX85-CG84,IF(A85&lt;'Données projet'!$A$114,$BV$205^A85,IF(A85='Données projet'!$A$114,'Données projet'!$B$114,BY84+BX85-CG84)))</f>
        <v>251.2000000000003</v>
      </c>
      <c r="BZ85" s="13">
        <f>BY85*VLOOKUP('Données projet'!$B$12,Paramètres!$A$1:$I$89,3,0)*VLOOKUP('Données projet'!$B$12,Paramètres!$A$1:$I$89,5,0)</f>
        <v>270.39168000000035</v>
      </c>
      <c r="CA85" s="13">
        <f t="shared" si="93"/>
        <v>64.93238665487263</v>
      </c>
      <c r="CB85" s="20">
        <f t="shared" si="64"/>
        <v>584.02274942390375</v>
      </c>
      <c r="CC85" s="59">
        <f t="shared" si="65"/>
        <v>877.35608275723712</v>
      </c>
      <c r="CD85" s="59">
        <f ca="1">AVERAGE(OFFSET($CC$3,0,0,'Données projet'!$E$12+1,1))-AVERAGE(OFFSET($H$3,0,0,'Données projet'!$E$12+1,1))</f>
        <v>303.1504619632214</v>
      </c>
      <c r="CE85" s="59">
        <f t="shared" si="94"/>
        <v>188.09929616366503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0.87391966605831584</v>
      </c>
      <c r="CM85" s="21">
        <f>EXP(-LN(2)/2)*CM84+(1-EXP(-LN(2)/2))/(LN(2)/2)*CG85*CJ85*VLOOKUP('Données projet'!$B$12,Paramètres!$A$1:$I$89,3,0)*0.475*44/12</f>
        <v>1.0972007645501202E-7</v>
      </c>
      <c r="CN85" s="22">
        <f t="shared" si="66"/>
        <v>0.8739197757783923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5.6843418860808015E-14</v>
      </c>
      <c r="CU85" s="17">
        <f>CT85*VLOOKUP('Données projet'!$B$13,Paramètres!$A$1:$I$89,3,0)*VLOOKUP('Données projet'!$B$13,Paramètres!$A$1:$I$89,5,0)</f>
        <v>3.813056537183002E-14</v>
      </c>
      <c r="CV85" s="13">
        <f t="shared" si="95"/>
        <v>6.4086286045526829E-13</v>
      </c>
      <c r="CW85" s="20">
        <f t="shared" si="67"/>
        <v>1.1825802166488628E-12</v>
      </c>
      <c r="CX85" s="59">
        <f t="shared" si="68"/>
        <v>293.33333333333451</v>
      </c>
      <c r="CY85" s="59">
        <f ca="1">AVERAGE(OFFSET($CX$3,0,0,'Données projet'!$E$13+1,1))-AVERAGE(OFFSET($H$3,0,0,'Données projet'!$E$13+1,1))</f>
        <v>156.63226020379989</v>
      </c>
      <c r="CZ85" s="59">
        <f t="shared" si="96"/>
        <v>196.0481096619543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2.0505706194089046</v>
      </c>
      <c r="DH85" s="21">
        <f>EXP(-LN(2)/2)*DH84+(1-EXP(-LN(2)/2))/(LN(2)/2)*DB85*DE85*VLOOKUP('Données projet'!$B$13,Paramètres!$A$1:$I$89,3,0)*0.475*44/12</f>
        <v>1.3520525101016229E-7</v>
      </c>
      <c r="DI85" s="22">
        <f t="shared" si="69"/>
        <v>2.0505707546141556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-8.5265128291212022E-14</v>
      </c>
      <c r="DP85" s="17">
        <f>DO85*VLOOKUP('Données projet'!$B$14,Paramètres!$A$1:$I$89,3,0)*VLOOKUP('Données projet'!$B$14,Paramètres!$A$1:$I$89,5,0)</f>
        <v>-7.7147888077888636E-14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225.28075317732998</v>
      </c>
      <c r="DU85" s="59">
        <f t="shared" si="98"/>
        <v>358.43407531256207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0.80109896609560372</v>
      </c>
      <c r="EB85" s="21">
        <f>EXP(-LN(2)/25)*EB84+(1-EXP(-LN(2)/25))/(LN(2)/25)*Calculateur!DW85*Calculateur!DY85*VLOOKUP('Données projet'!$B$14,Paramètres!$A$1:$I$89,3,0)*0.475*44/12</f>
        <v>1.9564606190798675</v>
      </c>
      <c r="EC85" s="21">
        <f>EXP(-LN(2)/2)*EC84+(1-EXP(-LN(2)/2))/(LN(2)/2)*DW85*DZ85*VLOOKUP('Données projet'!$B$14,Paramètres!$A$1:$I$89,3,0)*0.475*44/12</f>
        <v>6.577404014720803E-8</v>
      </c>
      <c r="ED85" s="22">
        <f t="shared" si="72"/>
        <v>2.7575596509495113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-5.6843418860808015E-13</v>
      </c>
      <c r="EK85" s="17">
        <f>EJ85*VLOOKUP('Données projet'!$B$15,Paramètres!$A$1:$I$89,3,0)*VLOOKUP('Données projet'!$B$15,Paramètres!$A$1:$I$89,5,0)</f>
        <v>-3.177547114319168E-13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326.31232746914907</v>
      </c>
      <c r="EP85" s="59">
        <f t="shared" si="100"/>
        <v>330.17137761430297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1.6310839396841053</v>
      </c>
      <c r="EW85" s="21">
        <f>EXP(-LN(2)/25)*EW84+(1-EXP(-LN(2)/25))/(LN(2)/25)*Calculateur!ER85*Calculateur!ET85*VLOOKUP('Données projet'!$B$15,Paramètres!$A$1:$I$89,3,0)*0.475*44/12</f>
        <v>7.1363371084260114</v>
      </c>
      <c r="EX85" s="21">
        <f>EXP(-LN(2)/2)*EX84+(1-EXP(-LN(2)/2))/(LN(2)/2)*ER85*EU85*VLOOKUP('Données projet'!$B$15,Paramètres!$A$1:$I$89,3,0)*0.475*44/12</f>
        <v>4.8461688116841378E-7</v>
      </c>
      <c r="EY85" s="22">
        <f t="shared" si="75"/>
        <v>8.7674215327269991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255.41017495879987</v>
      </c>
      <c r="FK85" s="59">
        <f t="shared" si="102"/>
        <v>297.50513563712764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2.9794006847506687</v>
      </c>
      <c r="FR85" s="21">
        <f>EXP(-LN(2)/25)*FR84+(1-EXP(-LN(2)/25))/(LN(2)/25)*Calculateur!FM85*Calculateur!FO85*VLOOKUP('Données projet'!$B$16,Paramètres!$A$1:$I$89,3,0)*0.475*44/12</f>
        <v>6.591625365035819</v>
      </c>
      <c r="FS85" s="21">
        <f>EXP(-LN(2)/2)*FS84+(1-EXP(-LN(2)/2))/(LN(2)/2)*FM85*FP85*VLOOKUP('Données projet'!$B$16,Paramètres!$A$1:$I$89,3,0)*0.475*44/12</f>
        <v>3.6360608245301068E-7</v>
      </c>
      <c r="FT85" s="22">
        <f t="shared" si="78"/>
        <v>9.5710264133925698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1.1368683772161603E-13</v>
      </c>
      <c r="GA85" s="17">
        <f>FZ85*VLOOKUP('Données projet'!$B$17,Paramètres!$A$1:$I$89,3,0)*VLOOKUP('Données projet'!$B$17,Paramètres!$A$1:$I$89,5,0)</f>
        <v>6.7984728957526396E-14</v>
      </c>
      <c r="GB85" s="13">
        <f t="shared" si="103"/>
        <v>1.0682447123141398E-12</v>
      </c>
      <c r="GC85" s="20">
        <f t="shared" si="79"/>
        <v>1.978932943548152E-12</v>
      </c>
      <c r="GD85" s="59">
        <f t="shared" si="80"/>
        <v>293.3333333333353</v>
      </c>
      <c r="GE85" s="59">
        <f ca="1">AVERAGE(OFFSET($GD$3,0,0,'Données projet'!$E$17+1,1))-AVERAGE(OFFSET($H$3,0,0,'Données projet'!$E$17+1,1))</f>
        <v>259.30247982593914</v>
      </c>
      <c r="GF85" s="59">
        <f t="shared" si="104"/>
        <v>275.24740346220779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</v>
      </c>
      <c r="GM85" s="21">
        <f>EXP(-LN(2)/25)*GM84+(1-EXP(-LN(2)/25))/(LN(2)/25)*Calculateur!GH85*Calculateur!GJ85*VLOOKUP('Données projet'!$B$17,Paramètres!$A$1:$I$89,3,0)*0.475*44/12</f>
        <v>4.2650674681059746</v>
      </c>
      <c r="GN85" s="21">
        <f>EXP(-LN(2)/2)*GN84+(1-EXP(-LN(2)/2))/(LN(2)/2)*GH85*GK85*VLOOKUP('Données projet'!$B$17,Paramètres!$A$1:$I$89,3,0)*0.475*44/12</f>
        <v>4.2737230929531211E-7</v>
      </c>
      <c r="GO85" s="21">
        <f t="shared" si="81"/>
        <v>4.2650678954782837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5.6843418860808015E-14</v>
      </c>
      <c r="GV85" s="17">
        <f>GU85*VLOOKUP('Données projet'!$B$18,Paramètres!$A$1:$I$89,3,0)*VLOOKUP('Données projet'!$B$18,Paramètres!$A$1:$I$89,5,0)</f>
        <v>4.5224624045658861E-14</v>
      </c>
      <c r="GW85" s="13">
        <f t="shared" si="105"/>
        <v>7.4514601661523691E-13</v>
      </c>
      <c r="GX85" s="20">
        <f t="shared" si="82"/>
        <v>1.3765621991510601E-12</v>
      </c>
      <c r="GY85" s="59">
        <f t="shared" si="83"/>
        <v>293.33333333333468</v>
      </c>
      <c r="GZ85" s="59">
        <f ca="1">AVERAGE(OFFSET($GY$3,0,0,'Données projet'!$E$18+1,1))-AVERAGE(OFFSET($H$3,0,0,'Données projet'!$E$18+1,1))</f>
        <v>199.58763537752952</v>
      </c>
      <c r="HA85" s="59">
        <f t="shared" si="106"/>
        <v>242.62852778451929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0</v>
      </c>
      <c r="HH85" s="21">
        <f>EXP(-LN(2)/25)*HH84+(1-EXP(-LN(2)/25))/(LN(2)/25)*Calculateur!HC85*Calculateur!HE85*VLOOKUP('Données projet'!$B$18,Paramètres!$A$1:$I$89,3,0)*0.475*44/12</f>
        <v>2.4320721299966066</v>
      </c>
      <c r="HI85" s="21">
        <f>EXP(-LN(2)/2)*HI84+(1-EXP(-LN(2)/2))/(LN(2)/2)*HC85*HF85*VLOOKUP('Données projet'!$B$18,Paramètres!$A$1:$I$89,3,0)*0.475*44/12</f>
        <v>1.6035971631437868E-7</v>
      </c>
      <c r="HJ85" s="22">
        <f t="shared" si="84"/>
        <v>2.4320722903563228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5.6</v>
      </c>
      <c r="N86" s="13">
        <f>IF('Données projet'!$A$36&gt;35,N85+M86-V85,IF(A86&lt;'Données projet'!$A$36,$K$205^A86,IF(A86='Données projet'!$A$36,'Données projet'!$B$36,N85+M86-V85)))</f>
        <v>256.8000000000003</v>
      </c>
      <c r="O86" s="13">
        <f>N86*VLOOKUP('Données projet'!$B$9,Paramètres!$A$1:$I$89,3,0)*VLOOKUP('Données projet'!$B$9,Paramètres!$A$1:$I$89,5,0)</f>
        <v>232.35264000000026</v>
      </c>
      <c r="P86" s="13">
        <f t="shared" si="87"/>
        <v>56.791075613550355</v>
      </c>
      <c r="Q86" s="20">
        <f t="shared" si="54"/>
        <v>503.59197136026728</v>
      </c>
      <c r="R86" s="59">
        <f t="shared" si="55"/>
        <v>796.92530469360054</v>
      </c>
      <c r="S86" s="59">
        <f ca="1">AVERAGE(OFFSET($R$3,0,0,'Données projet'!$E$9+1,1))-AVERAGE(OFFSET($H$3,0,0,'Données projet'!$E$9+1,1))</f>
        <v>237.22177246688199</v>
      </c>
      <c r="T86" s="59">
        <f t="shared" si="88"/>
        <v>149.27472147904302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0.71451148748240234</v>
      </c>
      <c r="AB86" s="21">
        <f>EXP(-LN(2)/2)*AB85+(1-EXP(-LN(2)/2))/(LN(2)/2)*V86*Y86*VLOOKUP('Données projet'!$B$9,Paramètres!$A$1:$I$89,3,0)*0.475*44/12</f>
        <v>6.5215376600455482E-8</v>
      </c>
      <c r="AC86" s="22">
        <f t="shared" si="57"/>
        <v>0.714511552697779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5.6</v>
      </c>
      <c r="AI86" s="13">
        <f>IF('Données projet'!$A$62&gt;35,AI85+AH86-AQ85,IF(A86&lt;'Données projet'!$A$62,$AF$205^A86,IF(A86='Données projet'!$A$62,'Données projet'!$B$62,AI85+AH86-AQ85)))</f>
        <v>256.8000000000003</v>
      </c>
      <c r="AJ86" s="13">
        <f>AI86*VLOOKUP('Données projet'!$B$10,Paramètres!$A$1:$I$89,3,0)*VLOOKUP('Données projet'!$B$10,Paramètres!$A$1:$I$89,5,0)</f>
        <v>260.39520000000027</v>
      </c>
      <c r="AK86" s="13">
        <f t="shared" si="89"/>
        <v>62.80661117771438</v>
      </c>
      <c r="AL86" s="20">
        <f t="shared" si="58"/>
        <v>562.90982113451958</v>
      </c>
      <c r="AM86" s="59">
        <f t="shared" si="59"/>
        <v>856.24315446785295</v>
      </c>
      <c r="AN86" s="59">
        <f ca="1">AVERAGE(OFFSET($AM$3,0,0,'Données projet'!$E$10+1,1))-AVERAGE(OFFSET($H$3,0,0,'Données projet'!$E$10+1,1))</f>
        <v>279.20364724206644</v>
      </c>
      <c r="AO86" s="59">
        <f t="shared" si="90"/>
        <v>173.99850582760712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0.80074563252338193</v>
      </c>
      <c r="AW86" s="21">
        <f>EXP(-LN(2)/2)*AW85+(1-EXP(-LN(2)/2))/(LN(2)/2)*AQ86*AT86*VLOOKUP('Données projet'!$B$10,Paramètres!$A$1:$I$89,3,0)*0.475*44/12</f>
        <v>7.3086197914303546E-8</v>
      </c>
      <c r="AX86" s="21">
        <f t="shared" si="60"/>
        <v>0.80074570560957981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17.5</v>
      </c>
      <c r="BD86" s="12">
        <f>IF('Données projet'!$A$88&gt;35,BD85+BC86-BL85,IF(A86&lt;'Données projet'!$A$88,$BA$205^A86,IF(A86='Données projet'!$A$88,'Données projet'!$B$88,BD85+BC86-BL85)))</f>
        <v>502.09999999999991</v>
      </c>
      <c r="BE86" s="13">
        <f>BD86*VLOOKUP('Données projet'!$B$11,Paramètres!$A$1:$I$89,3,0)*VLOOKUP('Données projet'!$B$11,Paramètres!$A$1:$I$89,5,0)</f>
        <v>234.98279999999997</v>
      </c>
      <c r="BF86" s="13">
        <f t="shared" si="91"/>
        <v>57.358731763746825</v>
      </c>
      <c r="BG86" s="20">
        <f t="shared" si="61"/>
        <v>509.16150115519235</v>
      </c>
      <c r="BH86" s="59">
        <f t="shared" si="62"/>
        <v>802.49483448852561</v>
      </c>
      <c r="BI86" s="59">
        <f ca="1">AVERAGE(OFFSET($BH$3,0,0,'Données projet'!$E$11+1,1))-AVERAGE(OFFSET($H$3,0,0,'Données projet'!$E$11+1,1))</f>
        <v>215.23235148064941</v>
      </c>
      <c r="BJ86" s="59">
        <f t="shared" si="92"/>
        <v>184.07239726900434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1.0973221814853225</v>
      </c>
      <c r="BQ86" s="21">
        <f>EXP(-LN(2)/25)*BQ85+(1-EXP(-LN(2)/25))/(LN(2)/25)*Calculateur!BL86*Calculateur!BN86*VLOOKUP('Données projet'!$B$11,Paramètres!$A$1:$I$89,3,0)*0.475*44/12</f>
        <v>1.8071253221171202</v>
      </c>
      <c r="BR86" s="21">
        <f>EXP(-LN(2)/2)*BR85+(1-EXP(-LN(2)/2))/(LN(2)/2)*BL86*BO86*VLOOKUP('Données projet'!$B$11,Paramètres!$A$1:$I$89,3,0)*0.475*44/12</f>
        <v>1.0359881316185261E-7</v>
      </c>
      <c r="BS86" s="22">
        <f t="shared" si="63"/>
        <v>2.9044476072012557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5.6</v>
      </c>
      <c r="BY86" s="12">
        <f>IF('Données projet'!$A$114&gt;35,BY85+BX86-CG85,IF(A86&lt;'Données projet'!$A$114,$BV$205^A86,IF(A86='Données projet'!$A$114,'Données projet'!$B$114,BY85+BX86-CG85)))</f>
        <v>256.8000000000003</v>
      </c>
      <c r="BZ86" s="13">
        <f>BY86*VLOOKUP('Données projet'!$B$12,Paramètres!$A$1:$I$89,3,0)*VLOOKUP('Données projet'!$B$12,Paramètres!$A$1:$I$89,5,0)</f>
        <v>276.41952000000026</v>
      </c>
      <c r="CA86" s="13">
        <f t="shared" si="93"/>
        <v>66.209784705913222</v>
      </c>
      <c r="CB86" s="20">
        <f t="shared" si="64"/>
        <v>596.74603902946581</v>
      </c>
      <c r="CC86" s="59">
        <f t="shared" si="65"/>
        <v>890.07937236279918</v>
      </c>
      <c r="CD86" s="59">
        <f ca="1">AVERAGE(OFFSET($CC$3,0,0,'Données projet'!$E$12+1,1))-AVERAGE(OFFSET($H$3,0,0,'Données projet'!$E$12+1,1))</f>
        <v>303.1504619632214</v>
      </c>
      <c r="CE86" s="59">
        <f t="shared" si="94"/>
        <v>188.09929616366503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0.85002228683251335</v>
      </c>
      <c r="CM86" s="21">
        <f>EXP(-LN(2)/2)*CM85+(1-EXP(-LN(2)/2))/(LN(2)/2)*CG86*CJ86*VLOOKUP('Données projet'!$B$12,Paramètres!$A$1:$I$89,3,0)*0.475*44/12</f>
        <v>7.7583810093645449E-8</v>
      </c>
      <c r="CN86" s="22">
        <f t="shared" si="66"/>
        <v>0.85002236441632339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5.6843418860808015E-14</v>
      </c>
      <c r="CU86" s="17">
        <f>CT86*VLOOKUP('Données projet'!$B$13,Paramètres!$A$1:$I$89,3,0)*VLOOKUP('Données projet'!$B$13,Paramètres!$A$1:$I$89,5,0)</f>
        <v>3.813056537183002E-14</v>
      </c>
      <c r="CV86" s="13">
        <f t="shared" si="95"/>
        <v>6.4086286045526829E-13</v>
      </c>
      <c r="CW86" s="20">
        <f t="shared" si="67"/>
        <v>1.1825802166488628E-12</v>
      </c>
      <c r="CX86" s="59">
        <f t="shared" si="68"/>
        <v>293.33333333333451</v>
      </c>
      <c r="CY86" s="59">
        <f ca="1">AVERAGE(OFFSET($CX$3,0,0,'Données projet'!$E$13+1,1))-AVERAGE(OFFSET($H$3,0,0,'Données projet'!$E$13+1,1))</f>
        <v>156.63226020379989</v>
      </c>
      <c r="CZ86" s="59">
        <f t="shared" si="96"/>
        <v>196.0481096619543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1.9944976579863458</v>
      </c>
      <c r="DH86" s="21">
        <f>EXP(-LN(2)/2)*DH85+(1-EXP(-LN(2)/2))/(LN(2)/2)*DB86*DE86*VLOOKUP('Données projet'!$B$13,Paramètres!$A$1:$I$89,3,0)*0.475*44/12</f>
        <v>9.5604549841315058E-8</v>
      </c>
      <c r="DI86" s="22">
        <f t="shared" si="69"/>
        <v>1.9944977535908957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-8.5265128291212022E-14</v>
      </c>
      <c r="DP86" s="17">
        <f>DO86*VLOOKUP('Données projet'!$B$14,Paramètres!$A$1:$I$89,3,0)*VLOOKUP('Données projet'!$B$14,Paramètres!$A$1:$I$89,5,0)</f>
        <v>-7.7147888077888636E-14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225.28075317732998</v>
      </c>
      <c r="DU86" s="59">
        <f t="shared" si="98"/>
        <v>358.43407531256207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0.78538990399259079</v>
      </c>
      <c r="EB86" s="21">
        <f>EXP(-LN(2)/25)*EB85+(1-EXP(-LN(2)/25))/(LN(2)/25)*Calculateur!DW86*Calculateur!DY86*VLOOKUP('Données projet'!$B$14,Paramètres!$A$1:$I$89,3,0)*0.475*44/12</f>
        <v>1.9029611005653362</v>
      </c>
      <c r="EC86" s="21">
        <f>EXP(-LN(2)/2)*EC85+(1-EXP(-LN(2)/2))/(LN(2)/2)*DW86*DZ86*VLOOKUP('Données projet'!$B$14,Paramètres!$A$1:$I$89,3,0)*0.475*44/12</f>
        <v>4.650926981412702E-8</v>
      </c>
      <c r="ED86" s="22">
        <f t="shared" si="72"/>
        <v>2.6883510510671966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-5.6843418860808015E-13</v>
      </c>
      <c r="EK86" s="17">
        <f>EJ86*VLOOKUP('Données projet'!$B$15,Paramètres!$A$1:$I$89,3,0)*VLOOKUP('Données projet'!$B$15,Paramètres!$A$1:$I$89,5,0)</f>
        <v>-3.177547114319168E-13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326.31232746914907</v>
      </c>
      <c r="EP86" s="59">
        <f t="shared" si="100"/>
        <v>330.17137761430297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1.5990993784898686</v>
      </c>
      <c r="EW86" s="21">
        <f>EXP(-LN(2)/25)*EW85+(1-EXP(-LN(2)/25))/(LN(2)/25)*Calculateur!ER86*Calculateur!ET86*VLOOKUP('Données projet'!$B$15,Paramètres!$A$1:$I$89,3,0)*0.475*44/12</f>
        <v>6.9411935949124439</v>
      </c>
      <c r="EX86" s="21">
        <f>EXP(-LN(2)/2)*EX85+(1-EXP(-LN(2)/2))/(LN(2)/2)*ER86*EU86*VLOOKUP('Données projet'!$B$15,Paramètres!$A$1:$I$89,3,0)*0.475*44/12</f>
        <v>3.4267588295166067E-7</v>
      </c>
      <c r="EY86" s="22">
        <f t="shared" si="75"/>
        <v>8.5402933160781949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255.41017495879987</v>
      </c>
      <c r="FK86" s="59">
        <f t="shared" si="102"/>
        <v>297.50513563712764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2.9209764545776866</v>
      </c>
      <c r="FR86" s="21">
        <f>EXP(-LN(2)/25)*FR85+(1-EXP(-LN(2)/25))/(LN(2)/25)*Calculateur!FM86*Calculateur!FO86*VLOOKUP('Données projet'!$B$16,Paramètres!$A$1:$I$89,3,0)*0.475*44/12</f>
        <v>6.4113770227904023</v>
      </c>
      <c r="FS86" s="21">
        <f>EXP(-LN(2)/2)*FS85+(1-EXP(-LN(2)/2))/(LN(2)/2)*FM86*FP86*VLOOKUP('Données projet'!$B$16,Paramètres!$A$1:$I$89,3,0)*0.475*44/12</f>
        <v>2.5710832658319877E-7</v>
      </c>
      <c r="FT86" s="22">
        <f t="shared" si="78"/>
        <v>9.3323537344764151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1.1368683772161603E-13</v>
      </c>
      <c r="GA86" s="17">
        <f>FZ86*VLOOKUP('Données projet'!$B$17,Paramètres!$A$1:$I$89,3,0)*VLOOKUP('Données projet'!$B$17,Paramètres!$A$1:$I$89,5,0)</f>
        <v>6.7984728957526396E-14</v>
      </c>
      <c r="GB86" s="13">
        <f t="shared" si="103"/>
        <v>1.0682447123141398E-12</v>
      </c>
      <c r="GC86" s="20">
        <f t="shared" si="79"/>
        <v>1.978932943548152E-12</v>
      </c>
      <c r="GD86" s="59">
        <f t="shared" si="80"/>
        <v>293.3333333333353</v>
      </c>
      <c r="GE86" s="59">
        <f ca="1">AVERAGE(OFFSET($GD$3,0,0,'Données projet'!$E$17+1,1))-AVERAGE(OFFSET($H$3,0,0,'Données projet'!$E$17+1,1))</f>
        <v>259.30247982593914</v>
      </c>
      <c r="GF86" s="59">
        <f t="shared" si="104"/>
        <v>275.24740346220779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</v>
      </c>
      <c r="GM86" s="21">
        <f>EXP(-LN(2)/25)*GM85+(1-EXP(-LN(2)/25))/(LN(2)/25)*Calculateur!GH86*Calculateur!GJ86*VLOOKUP('Données projet'!$B$17,Paramètres!$A$1:$I$89,3,0)*0.475*44/12</f>
        <v>4.1484389739004666</v>
      </c>
      <c r="GN86" s="21">
        <f>EXP(-LN(2)/2)*GN85+(1-EXP(-LN(2)/2))/(LN(2)/2)*GH86*GK86*VLOOKUP('Données projet'!$B$17,Paramètres!$A$1:$I$89,3,0)*0.475*44/12</f>
        <v>3.0219785799406977E-7</v>
      </c>
      <c r="GO86" s="21">
        <f t="shared" si="81"/>
        <v>4.1484392760983244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5.6843418860808015E-14</v>
      </c>
      <c r="GV86" s="17">
        <f>GU86*VLOOKUP('Données projet'!$B$18,Paramètres!$A$1:$I$89,3,0)*VLOOKUP('Données projet'!$B$18,Paramètres!$A$1:$I$89,5,0)</f>
        <v>4.5224624045658861E-14</v>
      </c>
      <c r="GW86" s="13">
        <f t="shared" si="105"/>
        <v>7.4514601661523691E-13</v>
      </c>
      <c r="GX86" s="20">
        <f t="shared" si="82"/>
        <v>1.3765621991510601E-12</v>
      </c>
      <c r="GY86" s="59">
        <f t="shared" si="83"/>
        <v>293.33333333333468</v>
      </c>
      <c r="GZ86" s="59">
        <f ca="1">AVERAGE(OFFSET($GY$3,0,0,'Données projet'!$E$18+1,1))-AVERAGE(OFFSET($H$3,0,0,'Données projet'!$E$18+1,1))</f>
        <v>199.58763537752952</v>
      </c>
      <c r="HA86" s="59">
        <f t="shared" si="106"/>
        <v>242.62852778451929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0</v>
      </c>
      <c r="HH86" s="21">
        <f>EXP(-LN(2)/25)*HH85+(1-EXP(-LN(2)/25))/(LN(2)/25)*Calculateur!HC86*Calculateur!HE86*VLOOKUP('Données projet'!$B$18,Paramètres!$A$1:$I$89,3,0)*0.475*44/12</f>
        <v>2.3655669897047344</v>
      </c>
      <c r="HI86" s="21">
        <f>EXP(-LN(2)/2)*HI85+(1-EXP(-LN(2)/2))/(LN(2)/2)*HC86*HF86*VLOOKUP('Données projet'!$B$18,Paramètres!$A$1:$I$89,3,0)*0.475*44/12</f>
        <v>1.133914428350482E-7</v>
      </c>
      <c r="HJ86" s="22">
        <f t="shared" si="84"/>
        <v>2.3655671030961773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5.6</v>
      </c>
      <c r="N87" s="13">
        <f>IF('Données projet'!$A$36&gt;35,N86+M87-V86,IF(A87&lt;'Données projet'!$A$36,$K$205^A87,IF(A87='Données projet'!$A$36,'Données projet'!$B$36,N86+M87-V86)))</f>
        <v>262.40000000000032</v>
      </c>
      <c r="O87" s="13">
        <f>N87*VLOOKUP('Données projet'!$B$9,Paramètres!$A$1:$I$89,3,0)*VLOOKUP('Données projet'!$B$9,Paramètres!$A$1:$I$89,5,0)</f>
        <v>237.41952000000029</v>
      </c>
      <c r="P87" s="13">
        <f t="shared" si="87"/>
        <v>57.883978814320969</v>
      </c>
      <c r="Q87" s="20">
        <f t="shared" si="54"/>
        <v>514.32026043494284</v>
      </c>
      <c r="R87" s="59">
        <f t="shared" si="55"/>
        <v>807.6535937682761</v>
      </c>
      <c r="S87" s="59">
        <f ca="1">AVERAGE(OFFSET($R$3,0,0,'Données projet'!$E$9+1,1))-AVERAGE(OFFSET($H$3,0,0,'Données projet'!$E$9+1,1))</f>
        <v>237.22177246688199</v>
      </c>
      <c r="T87" s="59">
        <f t="shared" si="88"/>
        <v>149.27472147904302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0.69497313328266996</v>
      </c>
      <c r="AB87" s="21">
        <f>EXP(-LN(2)/2)*AB86+(1-EXP(-LN(2)/2))/(LN(2)/2)*V87*Y87*VLOOKUP('Données projet'!$B$9,Paramètres!$A$1:$I$89,3,0)*0.475*44/12</f>
        <v>4.6114235031816567E-8</v>
      </c>
      <c r="AC87" s="22">
        <f t="shared" si="57"/>
        <v>0.69497317939690495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5.6</v>
      </c>
      <c r="AI87" s="13">
        <f>IF('Données projet'!$A$62&gt;35,AI86+AH87-AQ86,IF(A87&lt;'Données projet'!$A$62,$AF$205^A87,IF(A87='Données projet'!$A$62,'Données projet'!$B$62,AI86+AH87-AQ86)))</f>
        <v>262.40000000000032</v>
      </c>
      <c r="AJ87" s="13">
        <f>AI87*VLOOKUP('Données projet'!$B$10,Paramètres!$A$1:$I$89,3,0)*VLOOKUP('Données projet'!$B$10,Paramètres!$A$1:$I$89,5,0)</f>
        <v>266.07360000000034</v>
      </c>
      <c r="AK87" s="13">
        <f t="shared" si="89"/>
        <v>64.015279012301193</v>
      </c>
      <c r="AL87" s="20">
        <f t="shared" si="58"/>
        <v>574.90479761309177</v>
      </c>
      <c r="AM87" s="59">
        <f t="shared" si="59"/>
        <v>868.23813094642514</v>
      </c>
      <c r="AN87" s="59">
        <f ca="1">AVERAGE(OFFSET($AM$3,0,0,'Données projet'!$E$10+1,1))-AVERAGE(OFFSET($H$3,0,0,'Données projet'!$E$10+1,1))</f>
        <v>279.20364724206644</v>
      </c>
      <c r="AO87" s="59">
        <f t="shared" si="90"/>
        <v>173.99850582760712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0.77884920109264733</v>
      </c>
      <c r="AW87" s="21">
        <f>EXP(-LN(2)/2)*AW86+(1-EXP(-LN(2)/2))/(LN(2)/2)*AQ87*AT87*VLOOKUP('Données projet'!$B$10,Paramètres!$A$1:$I$89,3,0)*0.475*44/12</f>
        <v>5.1679746156346144E-8</v>
      </c>
      <c r="AX87" s="21">
        <f t="shared" si="60"/>
        <v>0.77884925277239347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17.5</v>
      </c>
      <c r="BD87" s="12">
        <f>IF('Données projet'!$A$88&gt;35,BD86+BC87-BL86,IF(A87&lt;'Données projet'!$A$88,$BA$205^A87,IF(A87='Données projet'!$A$88,'Données projet'!$B$88,BD86+BC87-BL86)))</f>
        <v>519.59999999999991</v>
      </c>
      <c r="BE87" s="13">
        <f>BD87*VLOOKUP('Données projet'!$B$11,Paramètres!$A$1:$I$89,3,0)*VLOOKUP('Données projet'!$B$11,Paramètres!$A$1:$I$89,5,0)</f>
        <v>243.17279999999994</v>
      </c>
      <c r="BF87" s="13">
        <f t="shared" si="91"/>
        <v>59.121651195612671</v>
      </c>
      <c r="BG87" s="20">
        <f t="shared" si="61"/>
        <v>526.49616916569187</v>
      </c>
      <c r="BH87" s="59">
        <f t="shared" si="62"/>
        <v>819.82950249902524</v>
      </c>
      <c r="BI87" s="59">
        <f ca="1">AVERAGE(OFFSET($BH$3,0,0,'Données projet'!$E$11+1,1))-AVERAGE(OFFSET($H$3,0,0,'Données projet'!$E$11+1,1))</f>
        <v>215.23235148064941</v>
      </c>
      <c r="BJ87" s="59">
        <f t="shared" si="92"/>
        <v>184.07239726900434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1.0758043628068381</v>
      </c>
      <c r="BQ87" s="21">
        <f>EXP(-LN(2)/25)*BQ86+(1-EXP(-LN(2)/25))/(LN(2)/25)*Calculateur!BL87*Calculateur!BN87*VLOOKUP('Données projet'!$B$11,Paramètres!$A$1:$I$89,3,0)*0.475*44/12</f>
        <v>1.7577093851512371</v>
      </c>
      <c r="BR87" s="21">
        <f>EXP(-LN(2)/2)*BR86+(1-EXP(-LN(2)/2))/(LN(2)/2)*BL87*BO87*VLOOKUP('Données projet'!$B$11,Paramètres!$A$1:$I$89,3,0)*0.475*44/12</f>
        <v>7.3255423309624135E-8</v>
      </c>
      <c r="BS87" s="22">
        <f t="shared" si="63"/>
        <v>2.8335138212134985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5.6</v>
      </c>
      <c r="BY87" s="12">
        <f>IF('Données projet'!$A$114&gt;35,BY86+BX87-CG86,IF(A87&lt;'Données projet'!$A$114,$BV$205^A87,IF(A87='Données projet'!$A$114,'Données projet'!$B$114,BY86+BX87-CG86)))</f>
        <v>262.40000000000032</v>
      </c>
      <c r="BZ87" s="13">
        <f>BY87*VLOOKUP('Données projet'!$B$12,Paramètres!$A$1:$I$89,3,0)*VLOOKUP('Données projet'!$B$12,Paramètres!$A$1:$I$89,5,0)</f>
        <v>282.44736000000034</v>
      </c>
      <c r="CA87" s="13">
        <f t="shared" si="93"/>
        <v>67.48394415518699</v>
      </c>
      <c r="CB87" s="20">
        <f t="shared" si="64"/>
        <v>609.46368807028455</v>
      </c>
      <c r="CC87" s="59">
        <f t="shared" si="65"/>
        <v>902.79702140361792</v>
      </c>
      <c r="CD87" s="59">
        <f ca="1">AVERAGE(OFFSET($CC$3,0,0,'Données projet'!$E$12+1,1))-AVERAGE(OFFSET($H$3,0,0,'Données projet'!$E$12+1,1))</f>
        <v>303.1504619632214</v>
      </c>
      <c r="CE87" s="59">
        <f t="shared" si="94"/>
        <v>188.09929616366503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0.82677838269834891</v>
      </c>
      <c r="CM87" s="21">
        <f>EXP(-LN(2)/2)*CM86+(1-EXP(-LN(2)/2))/(LN(2)/2)*CG87*CJ87*VLOOKUP('Données projet'!$B$12,Paramètres!$A$1:$I$89,3,0)*0.475*44/12</f>
        <v>5.486003822750601E-8</v>
      </c>
      <c r="CN87" s="22">
        <f t="shared" si="66"/>
        <v>0.82677843755838709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5.6843418860808015E-14</v>
      </c>
      <c r="CU87" s="17">
        <f>CT87*VLOOKUP('Données projet'!$B$13,Paramètres!$A$1:$I$89,3,0)*VLOOKUP('Données projet'!$B$13,Paramètres!$A$1:$I$89,5,0)</f>
        <v>3.813056537183002E-14</v>
      </c>
      <c r="CV87" s="13">
        <f t="shared" si="95"/>
        <v>6.4086286045526829E-13</v>
      </c>
      <c r="CW87" s="20">
        <f t="shared" si="67"/>
        <v>1.1825802166488628E-12</v>
      </c>
      <c r="CX87" s="59">
        <f t="shared" si="68"/>
        <v>293.33333333333451</v>
      </c>
      <c r="CY87" s="59">
        <f ca="1">AVERAGE(OFFSET($CX$3,0,0,'Données projet'!$E$13+1,1))-AVERAGE(OFFSET($H$3,0,0,'Données projet'!$E$13+1,1))</f>
        <v>156.63226020379989</v>
      </c>
      <c r="CZ87" s="59">
        <f t="shared" si="96"/>
        <v>196.0481096619543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1.9399580146426358</v>
      </c>
      <c r="DH87" s="21">
        <f>EXP(-LN(2)/2)*DH86+(1-EXP(-LN(2)/2))/(LN(2)/2)*DB87*DE87*VLOOKUP('Données projet'!$B$13,Paramètres!$A$1:$I$89,3,0)*0.475*44/12</f>
        <v>6.7602625505081144E-8</v>
      </c>
      <c r="DI87" s="22">
        <f t="shared" si="69"/>
        <v>1.9399580822452613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-8.5265128291212022E-14</v>
      </c>
      <c r="DP87" s="17">
        <f>DO87*VLOOKUP('Données projet'!$B$14,Paramètres!$A$1:$I$89,3,0)*VLOOKUP('Données projet'!$B$14,Paramètres!$A$1:$I$89,5,0)</f>
        <v>-7.7147888077888636E-14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225.28075317732998</v>
      </c>
      <c r="DU87" s="59">
        <f t="shared" si="98"/>
        <v>358.43407531256207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0.76998888701583623</v>
      </c>
      <c r="EB87" s="21">
        <f>EXP(-LN(2)/25)*EB86+(1-EXP(-LN(2)/25))/(LN(2)/25)*Calculateur!DW87*Calculateur!DY87*VLOOKUP('Données projet'!$B$14,Paramètres!$A$1:$I$89,3,0)*0.475*44/12</f>
        <v>1.8509245291980021</v>
      </c>
      <c r="EC87" s="21">
        <f>EXP(-LN(2)/2)*EC86+(1-EXP(-LN(2)/2))/(LN(2)/2)*DW87*DZ87*VLOOKUP('Données projet'!$B$14,Paramètres!$A$1:$I$89,3,0)*0.475*44/12</f>
        <v>3.2887020073604015E-8</v>
      </c>
      <c r="ED87" s="22">
        <f t="shared" si="72"/>
        <v>2.6209134491008585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-5.6843418860808015E-13</v>
      </c>
      <c r="EK87" s="17">
        <f>EJ87*VLOOKUP('Données projet'!$B$15,Paramètres!$A$1:$I$89,3,0)*VLOOKUP('Données projet'!$B$15,Paramètres!$A$1:$I$89,5,0)</f>
        <v>-3.177547114319168E-13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326.31232746914907</v>
      </c>
      <c r="EP87" s="59">
        <f t="shared" si="100"/>
        <v>330.17137761430297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1.567742015031995</v>
      </c>
      <c r="EW87" s="21">
        <f>EXP(-LN(2)/25)*EW86+(1-EXP(-LN(2)/25))/(LN(2)/25)*Calculateur!ER87*Calculateur!ET87*VLOOKUP('Données projet'!$B$15,Paramètres!$A$1:$I$89,3,0)*0.475*44/12</f>
        <v>6.751386291038056</v>
      </c>
      <c r="EX87" s="21">
        <f>EXP(-LN(2)/2)*EX86+(1-EXP(-LN(2)/2))/(LN(2)/2)*ER87*EU87*VLOOKUP('Données projet'!$B$15,Paramètres!$A$1:$I$89,3,0)*0.475*44/12</f>
        <v>2.4230844058420689E-7</v>
      </c>
      <c r="EY87" s="22">
        <f t="shared" si="75"/>
        <v>8.3191285483784903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255.41017495879987</v>
      </c>
      <c r="FK87" s="59">
        <f t="shared" si="102"/>
        <v>297.50513563712764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2.8636978879231352</v>
      </c>
      <c r="FR87" s="21">
        <f>EXP(-LN(2)/25)*FR86+(1-EXP(-LN(2)/25))/(LN(2)/25)*Calculateur!FM87*Calculateur!FO87*VLOOKUP('Données projet'!$B$16,Paramètres!$A$1:$I$89,3,0)*0.475*44/12</f>
        <v>6.2360575809425347</v>
      </c>
      <c r="FS87" s="21">
        <f>EXP(-LN(2)/2)*FS86+(1-EXP(-LN(2)/2))/(LN(2)/2)*FM87*FP87*VLOOKUP('Données projet'!$B$16,Paramètres!$A$1:$I$89,3,0)*0.475*44/12</f>
        <v>1.8180304122650534E-7</v>
      </c>
      <c r="FT87" s="22">
        <f t="shared" si="78"/>
        <v>9.0997556506687118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1.1368683772161603E-13</v>
      </c>
      <c r="GA87" s="17">
        <f>FZ87*VLOOKUP('Données projet'!$B$17,Paramètres!$A$1:$I$89,3,0)*VLOOKUP('Données projet'!$B$17,Paramètres!$A$1:$I$89,5,0)</f>
        <v>6.7984728957526396E-14</v>
      </c>
      <c r="GB87" s="13">
        <f t="shared" si="103"/>
        <v>1.0682447123141398E-12</v>
      </c>
      <c r="GC87" s="20">
        <f t="shared" si="79"/>
        <v>1.978932943548152E-12</v>
      </c>
      <c r="GD87" s="59">
        <f t="shared" si="80"/>
        <v>293.3333333333353</v>
      </c>
      <c r="GE87" s="59">
        <f ca="1">AVERAGE(OFFSET($GD$3,0,0,'Données projet'!$E$17+1,1))-AVERAGE(OFFSET($H$3,0,0,'Données projet'!$E$17+1,1))</f>
        <v>259.30247982593914</v>
      </c>
      <c r="GF87" s="59">
        <f t="shared" si="104"/>
        <v>275.24740346220779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</v>
      </c>
      <c r="GM87" s="21">
        <f>EXP(-LN(2)/25)*GM86+(1-EXP(-LN(2)/25))/(LN(2)/25)*Calculateur!GH87*Calculateur!GJ87*VLOOKUP('Données projet'!$B$17,Paramètres!$A$1:$I$89,3,0)*0.475*44/12</f>
        <v>4.0349996920022342</v>
      </c>
      <c r="GN87" s="21">
        <f>EXP(-LN(2)/2)*GN86+(1-EXP(-LN(2)/2))/(LN(2)/2)*GH87*GK87*VLOOKUP('Données projet'!$B$17,Paramètres!$A$1:$I$89,3,0)*0.475*44/12</f>
        <v>2.1368615464765606E-7</v>
      </c>
      <c r="GO87" s="21">
        <f t="shared" si="81"/>
        <v>4.0349999056883892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5.6843418860808015E-14</v>
      </c>
      <c r="GV87" s="17">
        <f>GU87*VLOOKUP('Données projet'!$B$18,Paramètres!$A$1:$I$89,3,0)*VLOOKUP('Données projet'!$B$18,Paramètres!$A$1:$I$89,5,0)</f>
        <v>4.5224624045658861E-14</v>
      </c>
      <c r="GW87" s="13">
        <f t="shared" si="105"/>
        <v>7.4514601661523691E-13</v>
      </c>
      <c r="GX87" s="20">
        <f t="shared" si="82"/>
        <v>1.3765621991510601E-12</v>
      </c>
      <c r="GY87" s="59">
        <f t="shared" si="83"/>
        <v>293.33333333333468</v>
      </c>
      <c r="GZ87" s="59">
        <f ca="1">AVERAGE(OFFSET($GY$3,0,0,'Données projet'!$E$18+1,1))-AVERAGE(OFFSET($H$3,0,0,'Données projet'!$E$18+1,1))</f>
        <v>199.58763537752952</v>
      </c>
      <c r="HA87" s="59">
        <f t="shared" si="106"/>
        <v>242.62852778451929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0</v>
      </c>
      <c r="HH87" s="21">
        <f>EXP(-LN(2)/25)*HH86+(1-EXP(-LN(2)/25))/(LN(2)/25)*Calculateur!HC87*Calculateur!HE87*VLOOKUP('Données projet'!$B$18,Paramètres!$A$1:$I$89,3,0)*0.475*44/12</f>
        <v>2.3008804359714969</v>
      </c>
      <c r="HI87" s="21">
        <f>EXP(-LN(2)/2)*HI86+(1-EXP(-LN(2)/2))/(LN(2)/2)*HC87*HF87*VLOOKUP('Données projet'!$B$18,Paramètres!$A$1:$I$89,3,0)*0.475*44/12</f>
        <v>8.0179858157189339E-8</v>
      </c>
      <c r="HJ87" s="22">
        <f t="shared" si="84"/>
        <v>2.3008805161513552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5.6</v>
      </c>
      <c r="N88" s="13">
        <f>IF('Données projet'!$A$36&gt;35,N87+M88-V87,IF(A88&lt;'Données projet'!$A$36,$K$205^A88,IF(A88='Données projet'!$A$36,'Données projet'!$B$36,N87+M88-V87)))</f>
        <v>268.00000000000034</v>
      </c>
      <c r="O88" s="13">
        <f>N88*VLOOKUP('Données projet'!$B$9,Paramètres!$A$1:$I$89,3,0)*VLOOKUP('Données projet'!$B$9,Paramètres!$A$1:$I$89,5,0)</f>
        <v>242.48640000000032</v>
      </c>
      <c r="P88" s="13">
        <f t="shared" si="87"/>
        <v>58.974170235372526</v>
      </c>
      <c r="Q88" s="20">
        <f t="shared" si="54"/>
        <v>525.04382649327442</v>
      </c>
      <c r="R88" s="59">
        <f t="shared" si="55"/>
        <v>818.37715982660779</v>
      </c>
      <c r="S88" s="59">
        <f ca="1">AVERAGE(OFFSET($R$3,0,0,'Données projet'!$E$9+1,1))-AVERAGE(OFFSET($H$3,0,0,'Données projet'!$E$9+1,1))</f>
        <v>237.22177246688199</v>
      </c>
      <c r="T88" s="59">
        <f t="shared" si="88"/>
        <v>149.27472147904302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0.67596905640600669</v>
      </c>
      <c r="AB88" s="21">
        <f>EXP(-LN(2)/2)*AB87+(1-EXP(-LN(2)/2))/(LN(2)/2)*V88*Y88*VLOOKUP('Données projet'!$B$9,Paramètres!$A$1:$I$89,3,0)*0.475*44/12</f>
        <v>3.2607688300227741E-8</v>
      </c>
      <c r="AC88" s="22">
        <f t="shared" si="57"/>
        <v>0.67596908901369501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5.6</v>
      </c>
      <c r="AI88" s="13">
        <f>IF('Données projet'!$A$62&gt;35,AI87+AH88-AQ87,IF(A88&lt;'Données projet'!$A$62,$AF$205^A88,IF(A88='Données projet'!$A$62,'Données projet'!$B$62,AI87+AH88-AQ87)))</f>
        <v>268.00000000000034</v>
      </c>
      <c r="AJ88" s="13">
        <f>AI88*VLOOKUP('Données projet'!$B$10,Paramètres!$A$1:$I$89,3,0)*VLOOKUP('Données projet'!$B$10,Paramètres!$A$1:$I$89,5,0)</f>
        <v>271.75200000000035</v>
      </c>
      <c r="AK88" s="13">
        <f t="shared" si="89"/>
        <v>65.220947824725044</v>
      </c>
      <c r="AL88" s="20">
        <f t="shared" si="58"/>
        <v>586.89455079472998</v>
      </c>
      <c r="AM88" s="59">
        <f t="shared" si="59"/>
        <v>880.22788412806335</v>
      </c>
      <c r="AN88" s="59">
        <f ca="1">AVERAGE(OFFSET($AM$3,0,0,'Données projet'!$E$10+1,1))-AVERAGE(OFFSET($H$3,0,0,'Données projet'!$E$10+1,1))</f>
        <v>279.20364724206644</v>
      </c>
      <c r="AO88" s="59">
        <f t="shared" si="90"/>
        <v>173.99850582760712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0.75755152873086951</v>
      </c>
      <c r="AW88" s="21">
        <f>EXP(-LN(2)/2)*AW87+(1-EXP(-LN(2)/2))/(LN(2)/2)*AQ88*AT88*VLOOKUP('Données projet'!$B$10,Paramètres!$A$1:$I$89,3,0)*0.475*44/12</f>
        <v>3.6543098957151773E-8</v>
      </c>
      <c r="AX88" s="21">
        <f t="shared" si="60"/>
        <v>0.7575515652739685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17.5</v>
      </c>
      <c r="BD88" s="12">
        <f>IF('Données projet'!$A$88&gt;35,BD87+BC88-BL87,IF(A88&lt;'Données projet'!$A$88,$BA$205^A88,IF(A88='Données projet'!$A$88,'Données projet'!$B$88,BD87+BC88-BL87)))</f>
        <v>537.09999999999991</v>
      </c>
      <c r="BE88" s="13">
        <f>BD88*VLOOKUP('Données projet'!$B$11,Paramètres!$A$1:$I$89,3,0)*VLOOKUP('Données projet'!$B$11,Paramètres!$A$1:$I$89,5,0)</f>
        <v>251.36279999999996</v>
      </c>
      <c r="BF88" s="13">
        <f t="shared" si="91"/>
        <v>60.877671564837158</v>
      </c>
      <c r="BG88" s="20">
        <f t="shared" si="61"/>
        <v>543.81882130875795</v>
      </c>
      <c r="BH88" s="59">
        <f t="shared" si="62"/>
        <v>837.15215464209132</v>
      </c>
      <c r="BI88" s="59">
        <f ca="1">AVERAGE(OFFSET($BH$3,0,0,'Données projet'!$E$11+1,1))-AVERAGE(OFFSET($H$3,0,0,'Données projet'!$E$11+1,1))</f>
        <v>215.23235148064941</v>
      </c>
      <c r="BJ88" s="59">
        <f t="shared" si="92"/>
        <v>184.07239726900434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1.0547084954280654</v>
      </c>
      <c r="BQ88" s="21">
        <f>EXP(-LN(2)/25)*BQ87+(1-EXP(-LN(2)/25))/(LN(2)/25)*Calculateur!BL88*Calculateur!BN88*VLOOKUP('Données projet'!$B$11,Paramètres!$A$1:$I$89,3,0)*0.475*44/12</f>
        <v>1.7096447295803572</v>
      </c>
      <c r="BR88" s="21">
        <f>EXP(-LN(2)/2)*BR87+(1-EXP(-LN(2)/2))/(LN(2)/2)*BL88*BO88*VLOOKUP('Données projet'!$B$11,Paramètres!$A$1:$I$89,3,0)*0.475*44/12</f>
        <v>5.1799406580926307E-8</v>
      </c>
      <c r="BS88" s="22">
        <f t="shared" si="63"/>
        <v>2.7643532768078289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5.6</v>
      </c>
      <c r="BY88" s="12">
        <f>IF('Données projet'!$A$114&gt;35,BY87+BX88-CG87,IF(A88&lt;'Données projet'!$A$114,$BV$205^A88,IF(A88='Données projet'!$A$114,'Données projet'!$B$114,BY87+BX88-CG87)))</f>
        <v>268.00000000000034</v>
      </c>
      <c r="BZ88" s="13">
        <f>BY88*VLOOKUP('Données projet'!$B$12,Paramètres!$A$1:$I$89,3,0)*VLOOKUP('Données projet'!$B$12,Paramètres!$A$1:$I$89,5,0)</f>
        <v>288.47520000000037</v>
      </c>
      <c r="CA88" s="13">
        <f t="shared" si="93"/>
        <v>68.754942080410899</v>
      </c>
      <c r="CB88" s="20">
        <f t="shared" si="64"/>
        <v>622.17583079004964</v>
      </c>
      <c r="CC88" s="59">
        <f t="shared" si="65"/>
        <v>915.50916412338302</v>
      </c>
      <c r="CD88" s="59">
        <f ca="1">AVERAGE(OFFSET($CC$3,0,0,'Données projet'!$E$12+1,1))-AVERAGE(OFFSET($H$3,0,0,'Données projet'!$E$12+1,1))</f>
        <v>303.1504619632214</v>
      </c>
      <c r="CE88" s="59">
        <f t="shared" si="94"/>
        <v>188.09929616366503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0.80417008434507709</v>
      </c>
      <c r="CM88" s="21">
        <f>EXP(-LN(2)/2)*CM87+(1-EXP(-LN(2)/2))/(LN(2)/2)*CG88*CJ88*VLOOKUP('Données projet'!$B$12,Paramètres!$A$1:$I$89,3,0)*0.475*44/12</f>
        <v>3.8791905046822724E-8</v>
      </c>
      <c r="CN88" s="22">
        <f t="shared" si="66"/>
        <v>0.80417012313698211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5.6843418860808015E-14</v>
      </c>
      <c r="CU88" s="17">
        <f>CT88*VLOOKUP('Données projet'!$B$13,Paramètres!$A$1:$I$89,3,0)*VLOOKUP('Données projet'!$B$13,Paramètres!$A$1:$I$89,5,0)</f>
        <v>3.813056537183002E-14</v>
      </c>
      <c r="CV88" s="13">
        <f t="shared" si="95"/>
        <v>6.4086286045526829E-13</v>
      </c>
      <c r="CW88" s="20">
        <f t="shared" si="67"/>
        <v>1.1825802166488628E-12</v>
      </c>
      <c r="CX88" s="59">
        <f t="shared" si="68"/>
        <v>293.33333333333451</v>
      </c>
      <c r="CY88" s="59">
        <f ca="1">AVERAGE(OFFSET($CX$3,0,0,'Données projet'!$E$13+1,1))-AVERAGE(OFFSET($H$3,0,0,'Données projet'!$E$13+1,1))</f>
        <v>156.63226020379989</v>
      </c>
      <c r="CZ88" s="59">
        <f t="shared" si="96"/>
        <v>196.0481096619543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1.8869097607142749</v>
      </c>
      <c r="DH88" s="21">
        <f>EXP(-LN(2)/2)*DH87+(1-EXP(-LN(2)/2))/(LN(2)/2)*DB88*DE88*VLOOKUP('Données projet'!$B$13,Paramètres!$A$1:$I$89,3,0)*0.475*44/12</f>
        <v>4.7802274920657529E-8</v>
      </c>
      <c r="DI88" s="22">
        <f t="shared" si="69"/>
        <v>1.8869098085165499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-8.5265128291212022E-14</v>
      </c>
      <c r="DP88" s="17">
        <f>DO88*VLOOKUP('Données projet'!$B$14,Paramètres!$A$1:$I$89,3,0)*VLOOKUP('Données projet'!$B$14,Paramètres!$A$1:$I$89,5,0)</f>
        <v>-7.7147888077888636E-14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225.28075317732998</v>
      </c>
      <c r="DU88" s="59">
        <f t="shared" si="98"/>
        <v>358.43407531256207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0.75488987458830303</v>
      </c>
      <c r="EB88" s="21">
        <f>EXP(-LN(2)/25)*EB87+(1-EXP(-LN(2)/25))/(LN(2)/25)*Calculateur!DW88*Calculateur!DY88*VLOOKUP('Données projet'!$B$14,Paramètres!$A$1:$I$89,3,0)*0.475*44/12</f>
        <v>1.8003109006111921</v>
      </c>
      <c r="EC88" s="21">
        <f>EXP(-LN(2)/2)*EC87+(1-EXP(-LN(2)/2))/(LN(2)/2)*DW88*DZ88*VLOOKUP('Données projet'!$B$14,Paramètres!$A$1:$I$89,3,0)*0.475*44/12</f>
        <v>2.325463490706351E-8</v>
      </c>
      <c r="ED88" s="22">
        <f t="shared" si="72"/>
        <v>2.5552007984541301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-5.6843418860808015E-13</v>
      </c>
      <c r="EK88" s="17">
        <f>EJ88*VLOOKUP('Données projet'!$B$15,Paramètres!$A$1:$I$89,3,0)*VLOOKUP('Données projet'!$B$15,Paramètres!$A$1:$I$89,5,0)</f>
        <v>-3.177547114319168E-13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326.31232746914907</v>
      </c>
      <c r="EP88" s="59">
        <f t="shared" si="100"/>
        <v>330.17137761430297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1.536999550345427</v>
      </c>
      <c r="EW88" s="21">
        <f>EXP(-LN(2)/25)*EW87+(1-EXP(-LN(2)/25))/(LN(2)/25)*Calculateur!ER88*Calculateur!ET88*VLOOKUP('Données projet'!$B$15,Paramètres!$A$1:$I$89,3,0)*0.475*44/12</f>
        <v>6.5667692778696454</v>
      </c>
      <c r="EX88" s="21">
        <f>EXP(-LN(2)/2)*EX87+(1-EXP(-LN(2)/2))/(LN(2)/2)*ER88*EU88*VLOOKUP('Données projet'!$B$15,Paramètres!$A$1:$I$89,3,0)*0.475*44/12</f>
        <v>1.7133794147583033E-7</v>
      </c>
      <c r="EY88" s="22">
        <f t="shared" si="75"/>
        <v>8.1037689995530133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255.41017495879987</v>
      </c>
      <c r="FK88" s="59">
        <f t="shared" si="102"/>
        <v>297.50513563712764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2.8075425190242034</v>
      </c>
      <c r="FR88" s="21">
        <f>EXP(-LN(2)/25)*FR87+(1-EXP(-LN(2)/25))/(LN(2)/25)*Calculateur!FM88*Calculateur!FO88*VLOOKUP('Données projet'!$B$16,Paramètres!$A$1:$I$89,3,0)*0.475*44/12</f>
        <v>6.065532258451646</v>
      </c>
      <c r="FS88" s="21">
        <f>EXP(-LN(2)/2)*FS87+(1-EXP(-LN(2)/2))/(LN(2)/2)*FM88*FP88*VLOOKUP('Données projet'!$B$16,Paramètres!$A$1:$I$89,3,0)*0.475*44/12</f>
        <v>1.2855416329159939E-7</v>
      </c>
      <c r="FT88" s="22">
        <f t="shared" si="78"/>
        <v>8.8730749060300127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1.1368683772161603E-13</v>
      </c>
      <c r="GA88" s="17">
        <f>FZ88*VLOOKUP('Données projet'!$B$17,Paramètres!$A$1:$I$89,3,0)*VLOOKUP('Données projet'!$B$17,Paramètres!$A$1:$I$89,5,0)</f>
        <v>6.7984728957526396E-14</v>
      </c>
      <c r="GB88" s="13">
        <f t="shared" si="103"/>
        <v>1.0682447123141398E-12</v>
      </c>
      <c r="GC88" s="20">
        <f t="shared" si="79"/>
        <v>1.978932943548152E-12</v>
      </c>
      <c r="GD88" s="59">
        <f t="shared" si="80"/>
        <v>293.3333333333353</v>
      </c>
      <c r="GE88" s="59">
        <f ca="1">AVERAGE(OFFSET($GD$3,0,0,'Données projet'!$E$17+1,1))-AVERAGE(OFFSET($H$3,0,0,'Données projet'!$E$17+1,1))</f>
        <v>259.30247982593914</v>
      </c>
      <c r="GF88" s="59">
        <f t="shared" si="104"/>
        <v>275.24740346220779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</v>
      </c>
      <c r="GM88" s="21">
        <f>EXP(-LN(2)/25)*GM87+(1-EXP(-LN(2)/25))/(LN(2)/25)*Calculateur!GH88*Calculateur!GJ88*VLOOKUP('Données projet'!$B$17,Paramètres!$A$1:$I$89,3,0)*0.475*44/12</f>
        <v>3.9246624132330212</v>
      </c>
      <c r="GN88" s="21">
        <f>EXP(-LN(2)/2)*GN87+(1-EXP(-LN(2)/2))/(LN(2)/2)*GH88*GK88*VLOOKUP('Données projet'!$B$17,Paramètres!$A$1:$I$89,3,0)*0.475*44/12</f>
        <v>1.5109892899703488E-7</v>
      </c>
      <c r="GO88" s="21">
        <f t="shared" si="81"/>
        <v>3.9246625643319502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5.6843418860808015E-14</v>
      </c>
      <c r="GV88" s="17">
        <f>GU88*VLOOKUP('Données projet'!$B$18,Paramètres!$A$1:$I$89,3,0)*VLOOKUP('Données projet'!$B$18,Paramètres!$A$1:$I$89,5,0)</f>
        <v>4.5224624045658861E-14</v>
      </c>
      <c r="GW88" s="13">
        <f t="shared" si="105"/>
        <v>7.4514601661523691E-13</v>
      </c>
      <c r="GX88" s="20">
        <f t="shared" si="82"/>
        <v>1.3765621991510601E-12</v>
      </c>
      <c r="GY88" s="59">
        <f t="shared" si="83"/>
        <v>293.33333333333468</v>
      </c>
      <c r="GZ88" s="59">
        <f ca="1">AVERAGE(OFFSET($GY$3,0,0,'Données projet'!$E$18+1,1))-AVERAGE(OFFSET($H$3,0,0,'Données projet'!$E$18+1,1))</f>
        <v>199.58763537752952</v>
      </c>
      <c r="HA88" s="59">
        <f t="shared" si="106"/>
        <v>242.62852778451929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0</v>
      </c>
      <c r="HH88" s="21">
        <f>EXP(-LN(2)/25)*HH87+(1-EXP(-LN(2)/25))/(LN(2)/25)*Calculateur!HC88*Calculateur!HE88*VLOOKUP('Données projet'!$B$18,Paramètres!$A$1:$I$89,3,0)*0.475*44/12</f>
        <v>2.2379627394518131</v>
      </c>
      <c r="HI88" s="21">
        <f>EXP(-LN(2)/2)*HI87+(1-EXP(-LN(2)/2))/(LN(2)/2)*HC88*HF88*VLOOKUP('Données projet'!$B$18,Paramètres!$A$1:$I$89,3,0)*0.475*44/12</f>
        <v>5.66957214175241E-8</v>
      </c>
      <c r="HJ88" s="22">
        <f t="shared" si="84"/>
        <v>2.2379627961475346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273.60000000000036</v>
      </c>
      <c r="O89" s="13">
        <f>N89*VLOOKUP('Données projet'!$B$9,Paramètres!$A$1:$I$89,3,0)*VLOOKUP('Données projet'!$B$9,Paramètres!$A$1:$I$89,5,0)</f>
        <v>247.55328000000031</v>
      </c>
      <c r="P89" s="13">
        <f t="shared" si="87"/>
        <v>60.061713068870304</v>
      </c>
      <c r="Q89" s="20">
        <f t="shared" si="54"/>
        <v>535.76277959494962</v>
      </c>
      <c r="R89" s="59">
        <f t="shared" si="55"/>
        <v>829.09611292828299</v>
      </c>
      <c r="S89" s="59">
        <f ca="1">AVERAGE(OFFSET($R$3,0,0,'Données projet'!$E$9+1,1))-AVERAGE(OFFSET($H$3,0,0,'Données projet'!$E$9+1,1))</f>
        <v>237.22177246688199</v>
      </c>
      <c r="T89" s="59">
        <f t="shared" si="88"/>
        <v>149.27472147904302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0.65748464701091669</v>
      </c>
      <c r="AB89" s="21">
        <f>EXP(-LN(2)/2)*AB88+(1-EXP(-LN(2)/2))/(LN(2)/2)*V89*Y89*VLOOKUP('Données projet'!$B$9,Paramètres!$A$1:$I$89,3,0)*0.475*44/12</f>
        <v>2.3057117515908283E-8</v>
      </c>
      <c r="AC89" s="22">
        <f t="shared" si="57"/>
        <v>0.65748467006803424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273.60000000000036</v>
      </c>
      <c r="AJ89" s="13">
        <f>AI89*VLOOKUP('Données projet'!$B$10,Paramètres!$A$1:$I$89,3,0)*VLOOKUP('Données projet'!$B$10,Paramètres!$A$1:$I$89,5,0)</f>
        <v>277.43040000000036</v>
      </c>
      <c r="AK89" s="13">
        <f t="shared" si="89"/>
        <v>66.423687500715801</v>
      </c>
      <c r="AL89" s="20">
        <f t="shared" si="58"/>
        <v>598.87920239708058</v>
      </c>
      <c r="AM89" s="59">
        <f t="shared" si="59"/>
        <v>892.21253573041395</v>
      </c>
      <c r="AN89" s="59">
        <f ca="1">AVERAGE(OFFSET($AM$3,0,0,'Données projet'!$E$10+1,1))-AVERAGE(OFFSET($H$3,0,0,'Données projet'!$E$10+1,1))</f>
        <v>279.20364724206644</v>
      </c>
      <c r="AO89" s="59">
        <f t="shared" si="90"/>
        <v>173.99850582760712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0.73683624233982037</v>
      </c>
      <c r="AW89" s="21">
        <f>EXP(-LN(2)/2)*AW88+(1-EXP(-LN(2)/2))/(LN(2)/2)*AQ89*AT89*VLOOKUP('Données projet'!$B$10,Paramètres!$A$1:$I$89,3,0)*0.475*44/12</f>
        <v>2.5839873078173072E-8</v>
      </c>
      <c r="AX89" s="21">
        <f t="shared" si="60"/>
        <v>0.7368362681796935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17.5</v>
      </c>
      <c r="BD89" s="12">
        <f>IF('Données projet'!$A$88&gt;35,BD88+BC89-BL88,IF(A89&lt;'Données projet'!$A$88,$BA$205^A89,IF(A89='Données projet'!$A$88,'Données projet'!$B$88,BD88+BC89-BL88)))</f>
        <v>554.59999999999991</v>
      </c>
      <c r="BE89" s="13">
        <f>BD89*VLOOKUP('Données projet'!$B$11,Paramètres!$A$1:$I$89,3,0)*VLOOKUP('Données projet'!$B$11,Paramètres!$A$1:$I$89,5,0)</f>
        <v>259.55279999999993</v>
      </c>
      <c r="BF89" s="13">
        <f t="shared" si="91"/>
        <v>62.627043439399927</v>
      </c>
      <c r="BG89" s="20">
        <f t="shared" si="61"/>
        <v>561.12989399028811</v>
      </c>
      <c r="BH89" s="59">
        <f t="shared" si="62"/>
        <v>854.46322732362137</v>
      </c>
      <c r="BI89" s="59">
        <f ca="1">AVERAGE(OFFSET($BH$3,0,0,'Données projet'!$E$11+1,1))-AVERAGE(OFFSET($H$3,0,0,'Données projet'!$E$11+1,1))</f>
        <v>215.23235148064941</v>
      </c>
      <c r="BJ89" s="59">
        <f t="shared" si="92"/>
        <v>184.07239726900434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1.0340263051413818</v>
      </c>
      <c r="BQ89" s="21">
        <f>EXP(-LN(2)/25)*BQ88+(1-EXP(-LN(2)/25))/(LN(2)/25)*Calculateur!BL89*Calculateur!BN89*VLOOKUP('Données projet'!$B$11,Paramètres!$A$1:$I$89,3,0)*0.475*44/12</f>
        <v>1.6628944045436733</v>
      </c>
      <c r="BR89" s="21">
        <f>EXP(-LN(2)/2)*BR88+(1-EXP(-LN(2)/2))/(LN(2)/2)*BL89*BO89*VLOOKUP('Données projet'!$B$11,Paramètres!$A$1:$I$89,3,0)*0.475*44/12</f>
        <v>3.6627711654812067E-8</v>
      </c>
      <c r="BS89" s="22">
        <f t="shared" si="63"/>
        <v>2.6969207463127667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5.6</v>
      </c>
      <c r="BY89" s="12">
        <f>IF('Données projet'!$A$114&gt;35,BY88+BX89-CG88,IF(A89&lt;'Données projet'!$A$114,$BV$205^A89,IF(A89='Données projet'!$A$114,'Données projet'!$B$114,BY88+BX89-CG88)))</f>
        <v>273.60000000000036</v>
      </c>
      <c r="BZ89" s="13">
        <f>BY89*VLOOKUP('Données projet'!$B$12,Paramètres!$A$1:$I$89,3,0)*VLOOKUP('Données projet'!$B$12,Paramètres!$A$1:$I$89,5,0)</f>
        <v>294.5030400000004</v>
      </c>
      <c r="CA89" s="13">
        <f t="shared" si="93"/>
        <v>70.022852154069838</v>
      </c>
      <c r="CB89" s="20">
        <f t="shared" si="64"/>
        <v>634.8825955016722</v>
      </c>
      <c r="CC89" s="59">
        <f t="shared" si="65"/>
        <v>928.21592883500557</v>
      </c>
      <c r="CD89" s="59">
        <f ca="1">AVERAGE(OFFSET($CC$3,0,0,'Données projet'!$E$12+1,1))-AVERAGE(OFFSET($H$3,0,0,'Données projet'!$E$12+1,1))</f>
        <v>303.1504619632214</v>
      </c>
      <c r="CE89" s="59">
        <f t="shared" si="94"/>
        <v>188.09929616366503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0.78218001109919422</v>
      </c>
      <c r="CM89" s="21">
        <f>EXP(-LN(2)/2)*CM88+(1-EXP(-LN(2)/2))/(LN(2)/2)*CG89*CJ89*VLOOKUP('Données projet'!$B$12,Paramètres!$A$1:$I$89,3,0)*0.475*44/12</f>
        <v>2.7430019113753005E-8</v>
      </c>
      <c r="CN89" s="22">
        <f t="shared" si="66"/>
        <v>0.78218003852921336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5.6843418860808015E-14</v>
      </c>
      <c r="CU89" s="17">
        <f>CT89*VLOOKUP('Données projet'!$B$13,Paramètres!$A$1:$I$89,3,0)*VLOOKUP('Données projet'!$B$13,Paramètres!$A$1:$I$89,5,0)</f>
        <v>3.813056537183002E-14</v>
      </c>
      <c r="CV89" s="13">
        <f t="shared" si="95"/>
        <v>6.4086286045526829E-13</v>
      </c>
      <c r="CW89" s="20">
        <f t="shared" si="67"/>
        <v>1.1825802166488628E-12</v>
      </c>
      <c r="CX89" s="59">
        <f t="shared" si="68"/>
        <v>293.33333333333451</v>
      </c>
      <c r="CY89" s="59">
        <f ca="1">AVERAGE(OFFSET($CX$3,0,0,'Données projet'!$E$13+1,1))-AVERAGE(OFFSET($H$3,0,0,'Données projet'!$E$13+1,1))</f>
        <v>156.63226020379989</v>
      </c>
      <c r="CZ89" s="59">
        <f t="shared" si="96"/>
        <v>196.0481096619543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1.8353121140792712</v>
      </c>
      <c r="DH89" s="21">
        <f>EXP(-LN(2)/2)*DH88+(1-EXP(-LN(2)/2))/(LN(2)/2)*DB89*DE89*VLOOKUP('Données projet'!$B$13,Paramètres!$A$1:$I$89,3,0)*0.475*44/12</f>
        <v>3.3801312752540572E-8</v>
      </c>
      <c r="DI89" s="22">
        <f t="shared" si="69"/>
        <v>1.8353121478805841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-8.5265128291212022E-14</v>
      </c>
      <c r="DP89" s="17">
        <f>DO89*VLOOKUP('Données projet'!$B$14,Paramètres!$A$1:$I$89,3,0)*VLOOKUP('Données projet'!$B$14,Paramètres!$A$1:$I$89,5,0)</f>
        <v>-7.7147888077888636E-14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225.28075317732998</v>
      </c>
      <c r="DU89" s="59">
        <f t="shared" si="98"/>
        <v>358.43407531256207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0.74008694458498547</v>
      </c>
      <c r="EB89" s="21">
        <f>EXP(-LN(2)/25)*EB88+(1-EXP(-LN(2)/25))/(LN(2)/25)*Calculateur!DW89*Calculateur!DY89*VLOOKUP('Données projet'!$B$14,Paramètres!$A$1:$I$89,3,0)*0.475*44/12</f>
        <v>1.7510813043597435</v>
      </c>
      <c r="EC89" s="21">
        <f>EXP(-LN(2)/2)*EC88+(1-EXP(-LN(2)/2))/(LN(2)/2)*DW89*DZ89*VLOOKUP('Données projet'!$B$14,Paramètres!$A$1:$I$89,3,0)*0.475*44/12</f>
        <v>1.6443510036802007E-8</v>
      </c>
      <c r="ED89" s="22">
        <f t="shared" si="72"/>
        <v>2.491168265388239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-5.6843418860808015E-13</v>
      </c>
      <c r="EK89" s="17">
        <f>EJ89*VLOOKUP('Données projet'!$B$15,Paramètres!$A$1:$I$89,3,0)*VLOOKUP('Données projet'!$B$15,Paramètres!$A$1:$I$89,5,0)</f>
        <v>-3.177547114319168E-13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326.31232746914907</v>
      </c>
      <c r="EP89" s="59">
        <f t="shared" si="100"/>
        <v>330.17137761430297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1.5068599266403107</v>
      </c>
      <c r="EW89" s="21">
        <f>EXP(-LN(2)/25)*EW88+(1-EXP(-LN(2)/25))/(LN(2)/25)*Calculateur!ER89*Calculateur!ET89*VLOOKUP('Données projet'!$B$15,Paramètres!$A$1:$I$89,3,0)*0.475*44/12</f>
        <v>6.3872006266349119</v>
      </c>
      <c r="EX89" s="21">
        <f>EXP(-LN(2)/2)*EX88+(1-EXP(-LN(2)/2))/(LN(2)/2)*ER89*EU89*VLOOKUP('Données projet'!$B$15,Paramètres!$A$1:$I$89,3,0)*0.475*44/12</f>
        <v>1.2115422029210345E-7</v>
      </c>
      <c r="EY89" s="22">
        <f t="shared" si="75"/>
        <v>7.8940606744294426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255.41017495879987</v>
      </c>
      <c r="FK89" s="59">
        <f t="shared" si="102"/>
        <v>297.50513563712764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2.7524883226579866</v>
      </c>
      <c r="FR89" s="21">
        <f>EXP(-LN(2)/25)*FR88+(1-EXP(-LN(2)/25))/(LN(2)/25)*Calculateur!FM89*Calculateur!FO89*VLOOKUP('Données projet'!$B$16,Paramètres!$A$1:$I$89,3,0)*0.475*44/12</f>
        <v>5.8996699598718072</v>
      </c>
      <c r="FS89" s="21">
        <f>EXP(-LN(2)/2)*FS88+(1-EXP(-LN(2)/2))/(LN(2)/2)*FM89*FP89*VLOOKUP('Données projet'!$B$16,Paramètres!$A$1:$I$89,3,0)*0.475*44/12</f>
        <v>9.0901520613252669E-8</v>
      </c>
      <c r="FT89" s="22">
        <f t="shared" si="78"/>
        <v>8.6521583734313143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1.1368683772161603E-13</v>
      </c>
      <c r="GA89" s="17">
        <f>FZ89*VLOOKUP('Données projet'!$B$17,Paramètres!$A$1:$I$89,3,0)*VLOOKUP('Données projet'!$B$17,Paramètres!$A$1:$I$89,5,0)</f>
        <v>6.7984728957526396E-14</v>
      </c>
      <c r="GB89" s="13">
        <f t="shared" si="103"/>
        <v>1.0682447123141398E-12</v>
      </c>
      <c r="GC89" s="20">
        <f t="shared" si="79"/>
        <v>1.978932943548152E-12</v>
      </c>
      <c r="GD89" s="59">
        <f t="shared" si="80"/>
        <v>293.3333333333353</v>
      </c>
      <c r="GE89" s="59">
        <f ca="1">AVERAGE(OFFSET($GD$3,0,0,'Données projet'!$E$17+1,1))-AVERAGE(OFFSET($H$3,0,0,'Données projet'!$E$17+1,1))</f>
        <v>259.30247982593914</v>
      </c>
      <c r="GF89" s="59">
        <f t="shared" si="104"/>
        <v>275.24740346220779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</v>
      </c>
      <c r="GM89" s="21">
        <f>EXP(-LN(2)/25)*GM88+(1-EXP(-LN(2)/25))/(LN(2)/25)*Calculateur!GH89*Calculateur!GJ89*VLOOKUP('Données projet'!$B$17,Paramètres!$A$1:$I$89,3,0)*0.475*44/12</f>
        <v>3.8173423131541377</v>
      </c>
      <c r="GN89" s="21">
        <f>EXP(-LN(2)/2)*GN88+(1-EXP(-LN(2)/2))/(LN(2)/2)*GH89*GK89*VLOOKUP('Données projet'!$B$17,Paramètres!$A$1:$I$89,3,0)*0.475*44/12</f>
        <v>1.0684307732382803E-7</v>
      </c>
      <c r="GO89" s="21">
        <f t="shared" si="81"/>
        <v>3.8173424199972152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5.6843418860808015E-14</v>
      </c>
      <c r="GV89" s="17">
        <f>GU89*VLOOKUP('Données projet'!$B$18,Paramètres!$A$1:$I$89,3,0)*VLOOKUP('Données projet'!$B$18,Paramètres!$A$1:$I$89,5,0)</f>
        <v>4.5224624045658861E-14</v>
      </c>
      <c r="GW89" s="13">
        <f t="shared" si="105"/>
        <v>7.4514601661523691E-13</v>
      </c>
      <c r="GX89" s="20">
        <f t="shared" si="82"/>
        <v>1.3765621991510601E-12</v>
      </c>
      <c r="GY89" s="59">
        <f t="shared" si="83"/>
        <v>293.33333333333468</v>
      </c>
      <c r="GZ89" s="59">
        <f ca="1">AVERAGE(OFFSET($GY$3,0,0,'Données projet'!$E$18+1,1))-AVERAGE(OFFSET($H$3,0,0,'Données projet'!$E$18+1,1))</f>
        <v>199.58763537752952</v>
      </c>
      <c r="HA89" s="59">
        <f t="shared" si="106"/>
        <v>242.62852778451929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0</v>
      </c>
      <c r="HH89" s="21">
        <f>EXP(-LN(2)/25)*HH88+(1-EXP(-LN(2)/25))/(LN(2)/25)*Calculateur!HC89*Calculateur!HE89*VLOOKUP('Données projet'!$B$18,Paramètres!$A$1:$I$89,3,0)*0.475*44/12</f>
        <v>2.1767655306521578</v>
      </c>
      <c r="HI89" s="21">
        <f>EXP(-LN(2)/2)*HI88+(1-EXP(-LN(2)/2))/(LN(2)/2)*HC89*HF89*VLOOKUP('Données projet'!$B$18,Paramètres!$A$1:$I$89,3,0)*0.475*44/12</f>
        <v>4.0089929078594669E-8</v>
      </c>
      <c r="HJ89" s="22">
        <f t="shared" si="84"/>
        <v>2.176765570742087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279.20000000000039</v>
      </c>
      <c r="O90" s="13">
        <f>N90*VLOOKUP('Données projet'!$B$9,Paramètres!$A$1:$I$89,3,0)*VLOOKUP('Données projet'!$B$9,Paramètres!$A$1:$I$89,5,0)</f>
        <v>252.62016000000034</v>
      </c>
      <c r="P90" s="13">
        <f t="shared" si="87"/>
        <v>61.146667772298876</v>
      </c>
      <c r="Q90" s="20">
        <f t="shared" si="54"/>
        <v>546.47722503675448</v>
      </c>
      <c r="R90" s="59">
        <f t="shared" si="55"/>
        <v>839.81055837008785</v>
      </c>
      <c r="S90" s="59">
        <f ca="1">AVERAGE(OFFSET($R$3,0,0,'Données projet'!$E$9+1,1))-AVERAGE(OFFSET($H$3,0,0,'Données projet'!$E$9+1,1))</f>
        <v>237.22177246688199</v>
      </c>
      <c r="T90" s="59">
        <f t="shared" si="88"/>
        <v>149.27472147904302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0.63950569476278829</v>
      </c>
      <c r="AB90" s="21">
        <f>EXP(-LN(2)/2)*AB89+(1-EXP(-LN(2)/2))/(LN(2)/2)*V90*Y90*VLOOKUP('Données projet'!$B$9,Paramètres!$A$1:$I$89,3,0)*0.475*44/12</f>
        <v>1.630384415011387E-8</v>
      </c>
      <c r="AC90" s="22">
        <f t="shared" si="57"/>
        <v>0.63950571106663245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279.20000000000039</v>
      </c>
      <c r="AJ90" s="13">
        <f>AI90*VLOOKUP('Données projet'!$B$10,Paramètres!$A$1:$I$89,3,0)*VLOOKUP('Données projet'!$B$10,Paramètres!$A$1:$I$89,5,0)</f>
        <v>283.10880000000037</v>
      </c>
      <c r="AK90" s="13">
        <f t="shared" si="89"/>
        <v>67.623564901653921</v>
      </c>
      <c r="AL90" s="20">
        <f t="shared" si="58"/>
        <v>610.85886887038123</v>
      </c>
      <c r="AM90" s="59">
        <f t="shared" si="59"/>
        <v>904.19220220371449</v>
      </c>
      <c r="AN90" s="59">
        <f ca="1">AVERAGE(OFFSET($AM$3,0,0,'Données projet'!$E$10+1,1))-AVERAGE(OFFSET($H$3,0,0,'Données projet'!$E$10+1,1))</f>
        <v>279.20364724206644</v>
      </c>
      <c r="AO90" s="59">
        <f t="shared" si="90"/>
        <v>173.99850582760712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0.71668741654450407</v>
      </c>
      <c r="AW90" s="21">
        <f>EXP(-LN(2)/2)*AW89+(1-EXP(-LN(2)/2))/(LN(2)/2)*AQ90*AT90*VLOOKUP('Données projet'!$B$10,Paramètres!$A$1:$I$89,3,0)*0.475*44/12</f>
        <v>1.8271549478575887E-8</v>
      </c>
      <c r="AX90" s="21">
        <f t="shared" si="60"/>
        <v>0.71668743481605357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17.5</v>
      </c>
      <c r="BD90" s="12">
        <f>IF('Données projet'!$A$88&gt;35,BD89+BC90-BL89,IF(A90&lt;'Données projet'!$A$88,$BA$205^A90,IF(A90='Données projet'!$A$88,'Données projet'!$B$88,BD89+BC90-BL89)))</f>
        <v>572.09999999999991</v>
      </c>
      <c r="BE90" s="13">
        <f>BD90*VLOOKUP('Données projet'!$B$11,Paramètres!$A$1:$I$89,3,0)*VLOOKUP('Données projet'!$B$11,Paramètres!$A$1:$I$89,5,0)</f>
        <v>267.74279999999993</v>
      </c>
      <c r="BF90" s="13">
        <f t="shared" si="91"/>
        <v>64.370000676259949</v>
      </c>
      <c r="BG90" s="20">
        <f t="shared" si="61"/>
        <v>578.42979451115264</v>
      </c>
      <c r="BH90" s="59">
        <f t="shared" si="62"/>
        <v>871.76312784448601</v>
      </c>
      <c r="BI90" s="59">
        <f ca="1">AVERAGE(OFFSET($BH$3,0,0,'Données projet'!$E$11+1,1))-AVERAGE(OFFSET($H$3,0,0,'Données projet'!$E$11+1,1))</f>
        <v>215.23235148064941</v>
      </c>
      <c r="BJ90" s="59">
        <f t="shared" si="92"/>
        <v>184.07239726900434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1.0137496799913297</v>
      </c>
      <c r="BQ90" s="21">
        <f>EXP(-LN(2)/25)*BQ89+(1-EXP(-LN(2)/25))/(LN(2)/25)*Calculateur!BL90*Calculateur!BN90*VLOOKUP('Données projet'!$B$11,Paramètres!$A$1:$I$89,3,0)*0.475*44/12</f>
        <v>1.6174224696036104</v>
      </c>
      <c r="BR90" s="21">
        <f>EXP(-LN(2)/2)*BR89+(1-EXP(-LN(2)/2))/(LN(2)/2)*BL90*BO90*VLOOKUP('Données projet'!$B$11,Paramètres!$A$1:$I$89,3,0)*0.475*44/12</f>
        <v>2.5899703290463154E-8</v>
      </c>
      <c r="BS90" s="22">
        <f t="shared" si="63"/>
        <v>2.6311721754946436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5.6</v>
      </c>
      <c r="BY90" s="12">
        <f>IF('Données projet'!$A$114&gt;35,BY89+BX90-CG89,IF(A90&lt;'Données projet'!$A$114,$BV$205^A90,IF(A90='Données projet'!$A$114,'Données projet'!$B$114,BY89+BX90-CG89)))</f>
        <v>279.20000000000039</v>
      </c>
      <c r="BZ90" s="13">
        <f>BY90*VLOOKUP('Données projet'!$B$12,Paramètres!$A$1:$I$89,3,0)*VLOOKUP('Données projet'!$B$12,Paramètres!$A$1:$I$89,5,0)</f>
        <v>300.53088000000042</v>
      </c>
      <c r="CA90" s="13">
        <f t="shared" si="93"/>
        <v>71.287744860425519</v>
      </c>
      <c r="CB90" s="20">
        <f t="shared" si="64"/>
        <v>647.58410496524175</v>
      </c>
      <c r="CC90" s="59">
        <f t="shared" si="65"/>
        <v>940.91743829857501</v>
      </c>
      <c r="CD90" s="59">
        <f ca="1">AVERAGE(OFFSET($CC$3,0,0,'Données projet'!$E$12+1,1))-AVERAGE(OFFSET($H$3,0,0,'Données projet'!$E$12+1,1))</f>
        <v>303.1504619632214</v>
      </c>
      <c r="CE90" s="59">
        <f t="shared" si="94"/>
        <v>188.09929616366503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0.76079125756262767</v>
      </c>
      <c r="CM90" s="21">
        <f>EXP(-LN(2)/2)*CM89+(1-EXP(-LN(2)/2))/(LN(2)/2)*CG90*CJ90*VLOOKUP('Données projet'!$B$12,Paramètres!$A$1:$I$89,3,0)*0.475*44/12</f>
        <v>1.9395952523411362E-8</v>
      </c>
      <c r="CN90" s="22">
        <f t="shared" si="66"/>
        <v>0.76079127695858018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5.6843418860808015E-14</v>
      </c>
      <c r="CU90" s="17">
        <f>CT90*VLOOKUP('Données projet'!$B$13,Paramètres!$A$1:$I$89,3,0)*VLOOKUP('Données projet'!$B$13,Paramètres!$A$1:$I$89,5,0)</f>
        <v>3.813056537183002E-14</v>
      </c>
      <c r="CV90" s="13">
        <f t="shared" si="95"/>
        <v>6.4086286045526829E-13</v>
      </c>
      <c r="CW90" s="20">
        <f t="shared" si="67"/>
        <v>1.1825802166488628E-12</v>
      </c>
      <c r="CX90" s="59">
        <f t="shared" si="68"/>
        <v>293.33333333333451</v>
      </c>
      <c r="CY90" s="59">
        <f ca="1">AVERAGE(OFFSET($CX$3,0,0,'Données projet'!$E$13+1,1))-AVERAGE(OFFSET($H$3,0,0,'Données projet'!$E$13+1,1))</f>
        <v>156.63226020379989</v>
      </c>
      <c r="CZ90" s="59">
        <f t="shared" si="96"/>
        <v>196.0481096619543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1.7851254078049041</v>
      </c>
      <c r="DH90" s="21">
        <f>EXP(-LN(2)/2)*DH89+(1-EXP(-LN(2)/2))/(LN(2)/2)*DB90*DE90*VLOOKUP('Données projet'!$B$13,Paramètres!$A$1:$I$89,3,0)*0.475*44/12</f>
        <v>2.3901137460328764E-8</v>
      </c>
      <c r="DI90" s="22">
        <f t="shared" si="69"/>
        <v>1.7851254317060417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-8.5265128291212022E-14</v>
      </c>
      <c r="DP90" s="17">
        <f>DO90*VLOOKUP('Données projet'!$B$14,Paramètres!$A$1:$I$89,3,0)*VLOOKUP('Données projet'!$B$14,Paramètres!$A$1:$I$89,5,0)</f>
        <v>-7.7147888077888636E-14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225.28075317732998</v>
      </c>
      <c r="DU90" s="59">
        <f t="shared" si="98"/>
        <v>358.43407531256207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0.72557429101013726</v>
      </c>
      <c r="EB90" s="21">
        <f>EXP(-LN(2)/25)*EB89+(1-EXP(-LN(2)/25))/(LN(2)/25)*Calculateur!DW90*Calculateur!DY90*VLOOKUP('Données projet'!$B$14,Paramètres!$A$1:$I$89,3,0)*0.475*44/12</f>
        <v>1.7031978940066628</v>
      </c>
      <c r="EC90" s="21">
        <f>EXP(-LN(2)/2)*EC89+(1-EXP(-LN(2)/2))/(LN(2)/2)*DW90*DZ90*VLOOKUP('Données projet'!$B$14,Paramètres!$A$1:$I$89,3,0)*0.475*44/12</f>
        <v>1.1627317453531755E-8</v>
      </c>
      <c r="ED90" s="22">
        <f t="shared" si="72"/>
        <v>2.4287721966441174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-5.6843418860808015E-13</v>
      </c>
      <c r="EK90" s="17">
        <f>EJ90*VLOOKUP('Données projet'!$B$15,Paramètres!$A$1:$I$89,3,0)*VLOOKUP('Données projet'!$B$15,Paramètres!$A$1:$I$89,5,0)</f>
        <v>-3.177547114319168E-13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326.31232746914907</v>
      </c>
      <c r="EP90" s="59">
        <f t="shared" si="100"/>
        <v>330.17137761430297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1.4773113225726964</v>
      </c>
      <c r="EW90" s="21">
        <f>EXP(-LN(2)/25)*EW89+(1-EXP(-LN(2)/25))/(LN(2)/25)*Calculateur!ER90*Calculateur!ET90*VLOOKUP('Données projet'!$B$15,Paramètres!$A$1:$I$89,3,0)*0.475*44/12</f>
        <v>6.2125422896112976</v>
      </c>
      <c r="EX90" s="21">
        <f>EXP(-LN(2)/2)*EX89+(1-EXP(-LN(2)/2))/(LN(2)/2)*ER90*EU90*VLOOKUP('Données projet'!$B$15,Paramètres!$A$1:$I$89,3,0)*0.475*44/12</f>
        <v>8.5668970737915167E-8</v>
      </c>
      <c r="EY90" s="22">
        <f t="shared" si="75"/>
        <v>7.6898536978529641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255.41017495879987</v>
      </c>
      <c r="FK90" s="59">
        <f t="shared" si="102"/>
        <v>297.50513563712764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2.6985137055027675</v>
      </c>
      <c r="FR90" s="21">
        <f>EXP(-LN(2)/25)*FR89+(1-EXP(-LN(2)/25))/(LN(2)/25)*Calculateur!FM90*Calculateur!FO90*VLOOKUP('Données projet'!$B$16,Paramètres!$A$1:$I$89,3,0)*0.475*44/12</f>
        <v>5.7383431745689535</v>
      </c>
      <c r="FS90" s="21">
        <f>EXP(-LN(2)/2)*FS89+(1-EXP(-LN(2)/2))/(LN(2)/2)*FM90*FP90*VLOOKUP('Données projet'!$B$16,Paramètres!$A$1:$I$89,3,0)*0.475*44/12</f>
        <v>6.4277081645799693E-8</v>
      </c>
      <c r="FT90" s="22">
        <f t="shared" si="78"/>
        <v>8.4368569443488024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1.1368683772161603E-13</v>
      </c>
      <c r="GA90" s="17">
        <f>FZ90*VLOOKUP('Données projet'!$B$17,Paramètres!$A$1:$I$89,3,0)*VLOOKUP('Données projet'!$B$17,Paramètres!$A$1:$I$89,5,0)</f>
        <v>6.7984728957526396E-14</v>
      </c>
      <c r="GB90" s="13">
        <f t="shared" si="103"/>
        <v>1.0682447123141398E-12</v>
      </c>
      <c r="GC90" s="20">
        <f t="shared" si="79"/>
        <v>1.978932943548152E-12</v>
      </c>
      <c r="GD90" s="59">
        <f t="shared" si="80"/>
        <v>293.3333333333353</v>
      </c>
      <c r="GE90" s="59">
        <f ca="1">AVERAGE(OFFSET($GD$3,0,0,'Données projet'!$E$17+1,1))-AVERAGE(OFFSET($H$3,0,0,'Données projet'!$E$17+1,1))</f>
        <v>259.30247982593914</v>
      </c>
      <c r="GF90" s="59">
        <f t="shared" si="104"/>
        <v>275.24740346220779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</v>
      </c>
      <c r="GM90" s="21">
        <f>EXP(-LN(2)/25)*GM89+(1-EXP(-LN(2)/25))/(LN(2)/25)*Calculateur!GH90*Calculateur!GJ90*VLOOKUP('Données projet'!$B$17,Paramètres!$A$1:$I$89,3,0)*0.475*44/12</f>
        <v>3.7129568868556304</v>
      </c>
      <c r="GN90" s="21">
        <f>EXP(-LN(2)/2)*GN89+(1-EXP(-LN(2)/2))/(LN(2)/2)*GH90*GK90*VLOOKUP('Données projet'!$B$17,Paramètres!$A$1:$I$89,3,0)*0.475*44/12</f>
        <v>7.5549464498517442E-8</v>
      </c>
      <c r="GO90" s="21">
        <f t="shared" si="81"/>
        <v>3.7129569624050949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5.6843418860808015E-14</v>
      </c>
      <c r="GV90" s="17">
        <f>GU90*VLOOKUP('Données projet'!$B$18,Paramètres!$A$1:$I$89,3,0)*VLOOKUP('Données projet'!$B$18,Paramètres!$A$1:$I$89,5,0)</f>
        <v>4.5224624045658861E-14</v>
      </c>
      <c r="GW90" s="13">
        <f t="shared" si="105"/>
        <v>7.4514601661523691E-13</v>
      </c>
      <c r="GX90" s="20">
        <f t="shared" si="82"/>
        <v>1.3765621991510601E-12</v>
      </c>
      <c r="GY90" s="59">
        <f t="shared" si="83"/>
        <v>293.33333333333468</v>
      </c>
      <c r="GZ90" s="59">
        <f ca="1">AVERAGE(OFFSET($GY$3,0,0,'Données projet'!$E$18+1,1))-AVERAGE(OFFSET($H$3,0,0,'Données projet'!$E$18+1,1))</f>
        <v>199.58763537752952</v>
      </c>
      <c r="HA90" s="59">
        <f t="shared" si="106"/>
        <v>242.62852778451929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0</v>
      </c>
      <c r="HH90" s="21">
        <f>EXP(-LN(2)/25)*HH89+(1-EXP(-LN(2)/25))/(LN(2)/25)*Calculateur!HC90*Calculateur!HE90*VLOOKUP('Données projet'!$B$18,Paramètres!$A$1:$I$89,3,0)*0.475*44/12</f>
        <v>2.1172417627453504</v>
      </c>
      <c r="HI90" s="21">
        <f>EXP(-LN(2)/2)*HI89+(1-EXP(-LN(2)/2))/(LN(2)/2)*HC90*HF90*VLOOKUP('Données projet'!$B$18,Paramètres!$A$1:$I$89,3,0)*0.475*44/12</f>
        <v>2.834786070876205E-8</v>
      </c>
      <c r="HJ90" s="22">
        <f t="shared" si="84"/>
        <v>2.1172417910932109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284.80000000000041</v>
      </c>
      <c r="O91" s="13">
        <f>N91*VLOOKUP('Données projet'!$B$9,Paramètres!$A$1:$I$89,3,0)*VLOOKUP('Données projet'!$B$9,Paramètres!$A$1:$I$89,5,0)</f>
        <v>257.68704000000037</v>
      </c>
      <c r="P91" s="13">
        <f t="shared" si="87"/>
        <v>62.229092239243457</v>
      </c>
      <c r="Q91" s="20">
        <f t="shared" si="54"/>
        <v>557.18726365001623</v>
      </c>
      <c r="R91" s="59">
        <f t="shared" si="55"/>
        <v>850.52059698334961</v>
      </c>
      <c r="S91" s="59">
        <f ca="1">AVERAGE(OFFSET($R$3,0,0,'Données projet'!$E$9+1,1))-AVERAGE(OFFSET($H$3,0,0,'Données projet'!$E$9+1,1))</f>
        <v>237.22177246688199</v>
      </c>
      <c r="T91" s="59">
        <f t="shared" si="88"/>
        <v>149.27472147904302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0.62201837790935699</v>
      </c>
      <c r="AB91" s="21">
        <f>EXP(-LN(2)/2)*AB90+(1-EXP(-LN(2)/2))/(LN(2)/2)*V91*Y91*VLOOKUP('Données projet'!$B$9,Paramètres!$A$1:$I$89,3,0)*0.475*44/12</f>
        <v>1.1528558757954142E-8</v>
      </c>
      <c r="AC91" s="22">
        <f t="shared" si="57"/>
        <v>0.62201838943791576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284.80000000000041</v>
      </c>
      <c r="AJ91" s="13">
        <f>AI91*VLOOKUP('Données projet'!$B$10,Paramètres!$A$1:$I$89,3,0)*VLOOKUP('Données projet'!$B$10,Paramètres!$A$1:$I$89,5,0)</f>
        <v>288.78720000000044</v>
      </c>
      <c r="AK91" s="13">
        <f t="shared" si="89"/>
        <v>68.82064405344255</v>
      </c>
      <c r="AL91" s="20">
        <f t="shared" si="58"/>
        <v>622.8336617264132</v>
      </c>
      <c r="AM91" s="59">
        <f t="shared" si="59"/>
        <v>916.16699505974657</v>
      </c>
      <c r="AN91" s="59">
        <f ca="1">AVERAGE(OFFSET($AM$3,0,0,'Données projet'!$E$10+1,1))-AVERAGE(OFFSET($H$3,0,0,'Données projet'!$E$10+1,1))</f>
        <v>279.20364724206644</v>
      </c>
      <c r="AO91" s="59">
        <f t="shared" si="90"/>
        <v>173.99850582760712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0.69708956145014134</v>
      </c>
      <c r="AW91" s="21">
        <f>EXP(-LN(2)/2)*AW90+(1-EXP(-LN(2)/2))/(LN(2)/2)*AQ91*AT91*VLOOKUP('Données projet'!$B$10,Paramètres!$A$1:$I$89,3,0)*0.475*44/12</f>
        <v>1.2919936539086536E-8</v>
      </c>
      <c r="AX91" s="21">
        <f t="shared" si="60"/>
        <v>0.6970895743700779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17.5</v>
      </c>
      <c r="BD91" s="12">
        <f>IF('Données projet'!$A$88&gt;35,BD90+BC91-BL90,IF(A91&lt;'Données projet'!$A$88,$BA$205^A91,IF(A91='Données projet'!$A$88,'Données projet'!$B$88,BD90+BC91-BL90)))</f>
        <v>589.59999999999991</v>
      </c>
      <c r="BE91" s="13">
        <f>BD91*VLOOKUP('Données projet'!$B$11,Paramètres!$A$1:$I$89,3,0)*VLOOKUP('Données projet'!$B$11,Paramètres!$A$1:$I$89,5,0)</f>
        <v>275.93279999999999</v>
      </c>
      <c r="BF91" s="13">
        <f t="shared" si="91"/>
        <v>66.106762012556132</v>
      </c>
      <c r="BG91" s="20">
        <f t="shared" si="61"/>
        <v>595.7189038385352</v>
      </c>
      <c r="BH91" s="59">
        <f t="shared" si="62"/>
        <v>889.05223717186846</v>
      </c>
      <c r="BI91" s="59">
        <f ca="1">AVERAGE(OFFSET($BH$3,0,0,'Données projet'!$E$11+1,1))-AVERAGE(OFFSET($H$3,0,0,'Données projet'!$E$11+1,1))</f>
        <v>215.23235148064941</v>
      </c>
      <c r="BJ91" s="59">
        <f t="shared" si="92"/>
        <v>184.07239726900434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0.99387066709294991</v>
      </c>
      <c r="BQ91" s="21">
        <f>EXP(-LN(2)/25)*BQ90+(1-EXP(-LN(2)/25))/(LN(2)/25)*Calculateur!BL91*Calculateur!BN91*VLOOKUP('Données projet'!$B$11,Paramètres!$A$1:$I$89,3,0)*0.475*44/12</f>
        <v>1.5731939671157487</v>
      </c>
      <c r="BR91" s="21">
        <f>EXP(-LN(2)/2)*BR90+(1-EXP(-LN(2)/2))/(LN(2)/2)*BL91*BO91*VLOOKUP('Données projet'!$B$11,Paramètres!$A$1:$I$89,3,0)*0.475*44/12</f>
        <v>1.8313855827406034E-8</v>
      </c>
      <c r="BS91" s="22">
        <f t="shared" si="63"/>
        <v>2.5670646525225544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5.6</v>
      </c>
      <c r="BY91" s="12">
        <f>IF('Données projet'!$A$114&gt;35,BY90+BX91-CG90,IF(A91&lt;'Données projet'!$A$114,$BV$205^A91,IF(A91='Données projet'!$A$114,'Données projet'!$B$114,BY90+BX91-CG90)))</f>
        <v>284.80000000000041</v>
      </c>
      <c r="BZ91" s="13">
        <f>BY91*VLOOKUP('Données projet'!$B$12,Paramètres!$A$1:$I$89,3,0)*VLOOKUP('Données projet'!$B$12,Paramètres!$A$1:$I$89,5,0)</f>
        <v>306.55872000000039</v>
      </c>
      <c r="CA91" s="13">
        <f t="shared" si="93"/>
        <v>72.549687694621696</v>
      </c>
      <c r="CB91" s="20">
        <f t="shared" si="64"/>
        <v>660.28047673480012</v>
      </c>
      <c r="CC91" s="59">
        <f t="shared" si="65"/>
        <v>953.61381006813349</v>
      </c>
      <c r="CD91" s="59">
        <f ca="1">AVERAGE(OFFSET($CC$3,0,0,'Données projet'!$E$12+1,1))-AVERAGE(OFFSET($H$3,0,0,'Données projet'!$E$12+1,1))</f>
        <v>303.1504619632214</v>
      </c>
      <c r="CE91" s="59">
        <f t="shared" si="94"/>
        <v>188.09929616366503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0.7399873806163042</v>
      </c>
      <c r="CM91" s="21">
        <f>EXP(-LN(2)/2)*CM90+(1-EXP(-LN(2)/2))/(LN(2)/2)*CG91*CJ91*VLOOKUP('Données projet'!$B$12,Paramètres!$A$1:$I$89,3,0)*0.475*44/12</f>
        <v>1.3715009556876503E-8</v>
      </c>
      <c r="CN91" s="22">
        <f t="shared" si="66"/>
        <v>0.73998739433131377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5.6843418860808015E-14</v>
      </c>
      <c r="CU91" s="17">
        <f>CT91*VLOOKUP('Données projet'!$B$13,Paramètres!$A$1:$I$89,3,0)*VLOOKUP('Données projet'!$B$13,Paramètres!$A$1:$I$89,5,0)</f>
        <v>3.813056537183002E-14</v>
      </c>
      <c r="CV91" s="13">
        <f t="shared" si="95"/>
        <v>6.4086286045526829E-13</v>
      </c>
      <c r="CW91" s="20">
        <f t="shared" si="67"/>
        <v>1.1825802166488628E-12</v>
      </c>
      <c r="CX91" s="59">
        <f t="shared" si="68"/>
        <v>293.33333333333451</v>
      </c>
      <c r="CY91" s="59">
        <f ca="1">AVERAGE(OFFSET($CX$3,0,0,'Données projet'!$E$13+1,1))-AVERAGE(OFFSET($H$3,0,0,'Données projet'!$E$13+1,1))</f>
        <v>156.63226020379989</v>
      </c>
      <c r="CZ91" s="59">
        <f t="shared" si="96"/>
        <v>196.0481096619543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1.7363110596528137</v>
      </c>
      <c r="DH91" s="21">
        <f>EXP(-LN(2)/2)*DH90+(1-EXP(-LN(2)/2))/(LN(2)/2)*DB91*DE91*VLOOKUP('Données projet'!$B$13,Paramètres!$A$1:$I$89,3,0)*0.475*44/12</f>
        <v>1.6900656376270286E-8</v>
      </c>
      <c r="DI91" s="22">
        <f t="shared" si="69"/>
        <v>1.7363110765534702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-8.5265128291212022E-14</v>
      </c>
      <c r="DP91" s="17">
        <f>DO91*VLOOKUP('Données projet'!$B$14,Paramètres!$A$1:$I$89,3,0)*VLOOKUP('Données projet'!$B$14,Paramètres!$A$1:$I$89,5,0)</f>
        <v>-7.7147888077888636E-14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225.28075317732998</v>
      </c>
      <c r="DU91" s="59">
        <f t="shared" si="98"/>
        <v>358.43407531256207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0.71134622172004713</v>
      </c>
      <c r="EB91" s="21">
        <f>EXP(-LN(2)/25)*EB90+(1-EXP(-LN(2)/25))/(LN(2)/25)*Calculateur!DW91*Calculateur!DY91*VLOOKUP('Données projet'!$B$14,Paramètres!$A$1:$I$89,3,0)*0.475*44/12</f>
        <v>1.6566238580277661</v>
      </c>
      <c r="EC91" s="21">
        <f>EXP(-LN(2)/2)*EC90+(1-EXP(-LN(2)/2))/(LN(2)/2)*DW91*DZ91*VLOOKUP('Données projet'!$B$14,Paramètres!$A$1:$I$89,3,0)*0.475*44/12</f>
        <v>8.2217550184010037E-9</v>
      </c>
      <c r="ED91" s="22">
        <f t="shared" si="72"/>
        <v>2.3679700879695682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-5.6843418860808015E-13</v>
      </c>
      <c r="EK91" s="17">
        <f>EJ91*VLOOKUP('Données projet'!$B$15,Paramètres!$A$1:$I$89,3,0)*VLOOKUP('Données projet'!$B$15,Paramètres!$A$1:$I$89,5,0)</f>
        <v>-3.177547114319168E-13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326.31232746914907</v>
      </c>
      <c r="EP91" s="59">
        <f t="shared" si="100"/>
        <v>330.17137761430297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1.4483421486079793</v>
      </c>
      <c r="EW91" s="21">
        <f>EXP(-LN(2)/25)*EW90+(1-EXP(-LN(2)/25))/(LN(2)/25)*Calculateur!ER91*Calculateur!ET91*VLOOKUP('Données projet'!$B$15,Paramètres!$A$1:$I$89,3,0)*0.475*44/12</f>
        <v>6.0426599939984769</v>
      </c>
      <c r="EX91" s="21">
        <f>EXP(-LN(2)/2)*EX90+(1-EXP(-LN(2)/2))/(LN(2)/2)*ER91*EU91*VLOOKUP('Données projet'!$B$15,Paramètres!$A$1:$I$89,3,0)*0.475*44/12</f>
        <v>6.0577110146051723E-8</v>
      </c>
      <c r="EY91" s="22">
        <f t="shared" si="75"/>
        <v>7.4910022031835668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255.41017495879987</v>
      </c>
      <c r="FK91" s="59">
        <f t="shared" si="102"/>
        <v>297.50513563712764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2.6455974976686965</v>
      </c>
      <c r="FR91" s="21">
        <f>EXP(-LN(2)/25)*FR90+(1-EXP(-LN(2)/25))/(LN(2)/25)*Calculateur!FM91*Calculateur!FO91*VLOOKUP('Données projet'!$B$16,Paramètres!$A$1:$I$89,3,0)*0.475*44/12</f>
        <v>5.5814278786940132</v>
      </c>
      <c r="FS91" s="21">
        <f>EXP(-LN(2)/2)*FS90+(1-EXP(-LN(2)/2))/(LN(2)/2)*FM91*FP91*VLOOKUP('Données projet'!$B$16,Paramètres!$A$1:$I$89,3,0)*0.475*44/12</f>
        <v>4.5450760306626335E-8</v>
      </c>
      <c r="FT91" s="22">
        <f t="shared" si="78"/>
        <v>8.2270254218134689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1.1368683772161603E-13</v>
      </c>
      <c r="GA91" s="17">
        <f>FZ91*VLOOKUP('Données projet'!$B$17,Paramètres!$A$1:$I$89,3,0)*VLOOKUP('Données projet'!$B$17,Paramètres!$A$1:$I$89,5,0)</f>
        <v>6.7984728957526396E-14</v>
      </c>
      <c r="GB91" s="13">
        <f t="shared" si="103"/>
        <v>1.0682447123141398E-12</v>
      </c>
      <c r="GC91" s="20">
        <f t="shared" si="79"/>
        <v>1.978932943548152E-12</v>
      </c>
      <c r="GD91" s="59">
        <f t="shared" si="80"/>
        <v>293.3333333333353</v>
      </c>
      <c r="GE91" s="59">
        <f ca="1">AVERAGE(OFFSET($GD$3,0,0,'Données projet'!$E$17+1,1))-AVERAGE(OFFSET($H$3,0,0,'Données projet'!$E$17+1,1))</f>
        <v>259.30247982593914</v>
      </c>
      <c r="GF91" s="59">
        <f t="shared" si="104"/>
        <v>275.24740346220779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</v>
      </c>
      <c r="GM91" s="21">
        <f>EXP(-LN(2)/25)*GM90+(1-EXP(-LN(2)/25))/(LN(2)/25)*Calculateur!GH91*Calculateur!GJ91*VLOOKUP('Données projet'!$B$17,Paramètres!$A$1:$I$89,3,0)*0.475*44/12</f>
        <v>3.6114258855286465</v>
      </c>
      <c r="GN91" s="21">
        <f>EXP(-LN(2)/2)*GN90+(1-EXP(-LN(2)/2))/(LN(2)/2)*GH91*GK91*VLOOKUP('Données projet'!$B$17,Paramètres!$A$1:$I$89,3,0)*0.475*44/12</f>
        <v>5.3421538661914014E-8</v>
      </c>
      <c r="GO91" s="21">
        <f t="shared" si="81"/>
        <v>3.6114259389501853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5.6843418860808015E-14</v>
      </c>
      <c r="GV91" s="17">
        <f>GU91*VLOOKUP('Données projet'!$B$18,Paramètres!$A$1:$I$89,3,0)*VLOOKUP('Données projet'!$B$18,Paramètres!$A$1:$I$89,5,0)</f>
        <v>4.5224624045658861E-14</v>
      </c>
      <c r="GW91" s="13">
        <f t="shared" si="105"/>
        <v>7.4514601661523691E-13</v>
      </c>
      <c r="GX91" s="20">
        <f t="shared" si="82"/>
        <v>1.3765621991510601E-12</v>
      </c>
      <c r="GY91" s="59">
        <f t="shared" si="83"/>
        <v>293.33333333333468</v>
      </c>
      <c r="GZ91" s="59">
        <f ca="1">AVERAGE(OFFSET($GY$3,0,0,'Données projet'!$E$18+1,1))-AVERAGE(OFFSET($H$3,0,0,'Données projet'!$E$18+1,1))</f>
        <v>199.58763537752952</v>
      </c>
      <c r="HA91" s="59">
        <f t="shared" si="106"/>
        <v>242.62852778451929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0</v>
      </c>
      <c r="HH91" s="21">
        <f>EXP(-LN(2)/25)*HH90+(1-EXP(-LN(2)/25))/(LN(2)/25)*Calculateur!HC91*Calculateur!HE91*VLOOKUP('Données projet'!$B$18,Paramètres!$A$1:$I$89,3,0)*0.475*44/12</f>
        <v>2.0593456754021733</v>
      </c>
      <c r="HI91" s="21">
        <f>EXP(-LN(2)/2)*HI90+(1-EXP(-LN(2)/2))/(LN(2)/2)*HC91*HF91*VLOOKUP('Données projet'!$B$18,Paramètres!$A$1:$I$89,3,0)*0.475*44/12</f>
        <v>2.0044964539297335E-8</v>
      </c>
      <c r="HJ91" s="22">
        <f t="shared" si="84"/>
        <v>2.0593456954471376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290.40000000000043</v>
      </c>
      <c r="O92" s="13">
        <f>N92*VLOOKUP('Données projet'!$B$9,Paramètres!$A$1:$I$89,3,0)*VLOOKUP('Données projet'!$B$9,Paramètres!$A$1:$I$89,5,0)</f>
        <v>262.75392000000039</v>
      </c>
      <c r="P92" s="13">
        <f t="shared" si="87"/>
        <v>63.309041956360382</v>
      </c>
      <c r="Q92" s="20">
        <f t="shared" si="54"/>
        <v>567.89299207399495</v>
      </c>
      <c r="R92" s="59">
        <f t="shared" si="55"/>
        <v>861.2263254073282</v>
      </c>
      <c r="S92" s="59">
        <f ca="1">AVERAGE(OFFSET($R$3,0,0,'Données projet'!$E$9+1,1))-AVERAGE(OFFSET($H$3,0,0,'Données projet'!$E$9+1,1))</f>
        <v>237.22177246688199</v>
      </c>
      <c r="T92" s="59">
        <f t="shared" si="88"/>
        <v>149.27472147904302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0.6050092526549008</v>
      </c>
      <c r="AB92" s="21">
        <f>EXP(-LN(2)/2)*AB91+(1-EXP(-LN(2)/2))/(LN(2)/2)*V92*Y92*VLOOKUP('Données projet'!$B$9,Paramètres!$A$1:$I$89,3,0)*0.475*44/12</f>
        <v>8.1519220750569352E-9</v>
      </c>
      <c r="AC92" s="22">
        <f t="shared" si="57"/>
        <v>0.60500926080682282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290.40000000000043</v>
      </c>
      <c r="AJ92" s="13">
        <f>AI92*VLOOKUP('Données projet'!$B$10,Paramètres!$A$1:$I$89,3,0)*VLOOKUP('Données projet'!$B$10,Paramètres!$A$1:$I$89,5,0)</f>
        <v>294.46560000000045</v>
      </c>
      <c r="AK92" s="13">
        <f t="shared" si="89"/>
        <v>70.014986320104342</v>
      </c>
      <c r="AL92" s="20">
        <f t="shared" si="58"/>
        <v>634.80368784084919</v>
      </c>
      <c r="AM92" s="59">
        <f t="shared" si="59"/>
        <v>928.13702117418256</v>
      </c>
      <c r="AN92" s="59">
        <f ca="1">AVERAGE(OFFSET($AM$3,0,0,'Données projet'!$E$10+1,1))-AVERAGE(OFFSET($H$3,0,0,'Données projet'!$E$10+1,1))</f>
        <v>279.20364724206644</v>
      </c>
      <c r="AO92" s="59">
        <f t="shared" si="90"/>
        <v>173.99850582760712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0.67802761073394036</v>
      </c>
      <c r="AW92" s="21">
        <f>EXP(-LN(2)/2)*AW91+(1-EXP(-LN(2)/2))/(LN(2)/2)*AQ92*AT92*VLOOKUP('Données projet'!$B$10,Paramètres!$A$1:$I$89,3,0)*0.475*44/12</f>
        <v>9.1357747392879433E-9</v>
      </c>
      <c r="AX92" s="21">
        <f t="shared" si="60"/>
        <v>0.67802761986971505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17.5</v>
      </c>
      <c r="BD92" s="12">
        <f>IF('Données projet'!$A$88&gt;35,BD91+BC92-BL91,IF(A92&lt;'Données projet'!$A$88,$BA$205^A92,IF(A92='Données projet'!$A$88,'Données projet'!$B$88,BD91+BC92-BL91)))</f>
        <v>607.09999999999991</v>
      </c>
      <c r="BE92" s="13">
        <f>BD92*VLOOKUP('Données projet'!$B$11,Paramètres!$A$1:$I$89,3,0)*VLOOKUP('Données projet'!$B$11,Paramètres!$A$1:$I$89,5,0)</f>
        <v>284.12279999999993</v>
      </c>
      <c r="BF92" s="13">
        <f t="shared" si="91"/>
        <v>67.837532462585557</v>
      </c>
      <c r="BG92" s="20">
        <f t="shared" si="61"/>
        <v>612.99757903900297</v>
      </c>
      <c r="BH92" s="59">
        <f t="shared" si="62"/>
        <v>906.33091237233634</v>
      </c>
      <c r="BI92" s="59">
        <f ca="1">AVERAGE(OFFSET($BH$3,0,0,'Données projet'!$E$11+1,1))-AVERAGE(OFFSET($H$3,0,0,'Données projet'!$E$11+1,1))</f>
        <v>215.23235148064941</v>
      </c>
      <c r="BJ92" s="59">
        <f t="shared" si="92"/>
        <v>184.07239726900434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0.9743814695125067</v>
      </c>
      <c r="BQ92" s="21">
        <f>EXP(-LN(2)/25)*BQ91+(1-EXP(-LN(2)/25))/(LN(2)/25)*Calculateur!BL92*Calculateur!BN92*VLOOKUP('Données projet'!$B$11,Paramètres!$A$1:$I$89,3,0)*0.475*44/12</f>
        <v>1.5301748953542933</v>
      </c>
      <c r="BR92" s="21">
        <f>EXP(-LN(2)/2)*BR91+(1-EXP(-LN(2)/2))/(LN(2)/2)*BL92*BO92*VLOOKUP('Données projet'!$B$11,Paramètres!$A$1:$I$89,3,0)*0.475*44/12</f>
        <v>1.2949851645231577E-8</v>
      </c>
      <c r="BS92" s="22">
        <f t="shared" si="63"/>
        <v>2.5045563778166517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5.6</v>
      </c>
      <c r="BY92" s="12">
        <f>IF('Données projet'!$A$114&gt;35,BY91+BX92-CG91,IF(A92&lt;'Données projet'!$A$114,$BV$205^A92,IF(A92='Données projet'!$A$114,'Données projet'!$B$114,BY91+BX92-CG91)))</f>
        <v>290.40000000000043</v>
      </c>
      <c r="BZ92" s="13">
        <f>BY92*VLOOKUP('Données projet'!$B$12,Paramètres!$A$1:$I$89,3,0)*VLOOKUP('Données projet'!$B$12,Paramètres!$A$1:$I$89,5,0)</f>
        <v>312.58656000000047</v>
      </c>
      <c r="CA92" s="13">
        <f t="shared" si="93"/>
        <v>73.808745345688024</v>
      </c>
      <c r="CB92" s="20">
        <f t="shared" si="64"/>
        <v>672.97182347707405</v>
      </c>
      <c r="CC92" s="59">
        <f t="shared" si="65"/>
        <v>966.30515681040742</v>
      </c>
      <c r="CD92" s="59">
        <f ca="1">AVERAGE(OFFSET($CC$3,0,0,'Données projet'!$E$12+1,1))-AVERAGE(OFFSET($H$3,0,0,'Données projet'!$E$12+1,1))</f>
        <v>303.1504619632214</v>
      </c>
      <c r="CE92" s="59">
        <f t="shared" si="94"/>
        <v>188.09929616366503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0.71975238677910625</v>
      </c>
      <c r="CM92" s="21">
        <f>EXP(-LN(2)/2)*CM91+(1-EXP(-LN(2)/2))/(LN(2)/2)*CG92*CJ92*VLOOKUP('Données projet'!$B$12,Paramètres!$A$1:$I$89,3,0)*0.475*44/12</f>
        <v>9.6979762617056811E-9</v>
      </c>
      <c r="CN92" s="22">
        <f t="shared" si="66"/>
        <v>0.71975239647708256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5.6843418860808015E-14</v>
      </c>
      <c r="CU92" s="17">
        <f>CT92*VLOOKUP('Données projet'!$B$13,Paramètres!$A$1:$I$89,3,0)*VLOOKUP('Données projet'!$B$13,Paramètres!$A$1:$I$89,5,0)</f>
        <v>3.813056537183002E-14</v>
      </c>
      <c r="CV92" s="13">
        <f t="shared" si="95"/>
        <v>6.4086286045526829E-13</v>
      </c>
      <c r="CW92" s="20">
        <f t="shared" si="67"/>
        <v>1.1825802166488628E-12</v>
      </c>
      <c r="CX92" s="59">
        <f t="shared" si="68"/>
        <v>293.33333333333451</v>
      </c>
      <c r="CY92" s="59">
        <f ca="1">AVERAGE(OFFSET($CX$3,0,0,'Données projet'!$E$13+1,1))-AVERAGE(OFFSET($H$3,0,0,'Données projet'!$E$13+1,1))</f>
        <v>156.63226020379989</v>
      </c>
      <c r="CZ92" s="59">
        <f t="shared" si="96"/>
        <v>196.0481096619543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1.6888315424179774</v>
      </c>
      <c r="DH92" s="21">
        <f>EXP(-LN(2)/2)*DH91+(1-EXP(-LN(2)/2))/(LN(2)/2)*DB92*DE92*VLOOKUP('Données projet'!$B$13,Paramètres!$A$1:$I$89,3,0)*0.475*44/12</f>
        <v>1.1950568730164382E-8</v>
      </c>
      <c r="DI92" s="22">
        <f t="shared" si="69"/>
        <v>1.6888315543685462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-8.5265128291212022E-14</v>
      </c>
      <c r="DP92" s="17">
        <f>DO92*VLOOKUP('Données projet'!$B$14,Paramètres!$A$1:$I$89,3,0)*VLOOKUP('Données projet'!$B$14,Paramètres!$A$1:$I$89,5,0)</f>
        <v>-7.7147888077888636E-14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225.28075317732998</v>
      </c>
      <c r="DU92" s="59">
        <f t="shared" si="98"/>
        <v>358.43407531256207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0.69739715619047038</v>
      </c>
      <c r="EB92" s="21">
        <f>EXP(-LN(2)/25)*EB91+(1-EXP(-LN(2)/25))/(LN(2)/25)*Calculateur!DW92*Calculateur!DY92*VLOOKUP('Données projet'!$B$14,Paramètres!$A$1:$I$89,3,0)*0.475*44/12</f>
        <v>1.6113233915119345</v>
      </c>
      <c r="EC92" s="21">
        <f>EXP(-LN(2)/2)*EC91+(1-EXP(-LN(2)/2))/(LN(2)/2)*DW92*DZ92*VLOOKUP('Données projet'!$B$14,Paramètres!$A$1:$I$89,3,0)*0.475*44/12</f>
        <v>5.8136587267658775E-9</v>
      </c>
      <c r="ED92" s="22">
        <f t="shared" si="72"/>
        <v>2.3087205535160638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-5.6843418860808015E-13</v>
      </c>
      <c r="EK92" s="17">
        <f>EJ92*VLOOKUP('Données projet'!$B$15,Paramètres!$A$1:$I$89,3,0)*VLOOKUP('Données projet'!$B$15,Paramètres!$A$1:$I$89,5,0)</f>
        <v>-3.177547114319168E-13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326.31232746914907</v>
      </c>
      <c r="EP92" s="59">
        <f t="shared" si="100"/>
        <v>330.17137761430297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1.4199410424752588</v>
      </c>
      <c r="EW92" s="21">
        <f>EXP(-LN(2)/25)*EW91+(1-EXP(-LN(2)/25))/(LN(2)/25)*Calculateur!ER92*Calculateur!ET92*VLOOKUP('Données projet'!$B$15,Paramètres!$A$1:$I$89,3,0)*0.475*44/12</f>
        <v>5.8774231386929099</v>
      </c>
      <c r="EX92" s="21">
        <f>EXP(-LN(2)/2)*EX91+(1-EXP(-LN(2)/2))/(LN(2)/2)*ER92*EU92*VLOOKUP('Données projet'!$B$15,Paramètres!$A$1:$I$89,3,0)*0.475*44/12</f>
        <v>4.2834485368957583E-8</v>
      </c>
      <c r="EY92" s="22">
        <f t="shared" si="75"/>
        <v>7.2973642240026537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255.41017495879987</v>
      </c>
      <c r="FK92" s="59">
        <f t="shared" si="102"/>
        <v>297.50513563712764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2.5937189443945519</v>
      </c>
      <c r="FR92" s="21">
        <f>EXP(-LN(2)/25)*FR91+(1-EXP(-LN(2)/25))/(LN(2)/25)*Calculateur!FM92*Calculateur!FO92*VLOOKUP('Données projet'!$B$16,Paramètres!$A$1:$I$89,3,0)*0.475*44/12</f>
        <v>5.4288034398365896</v>
      </c>
      <c r="FS92" s="21">
        <f>EXP(-LN(2)/2)*FS91+(1-EXP(-LN(2)/2))/(LN(2)/2)*FM92*FP92*VLOOKUP('Données projet'!$B$16,Paramètres!$A$1:$I$89,3,0)*0.475*44/12</f>
        <v>3.2138540822899847E-8</v>
      </c>
      <c r="FT92" s="22">
        <f t="shared" si="78"/>
        <v>8.0225224163696822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1.1368683772161603E-13</v>
      </c>
      <c r="GA92" s="17">
        <f>FZ92*VLOOKUP('Données projet'!$B$17,Paramètres!$A$1:$I$89,3,0)*VLOOKUP('Données projet'!$B$17,Paramètres!$A$1:$I$89,5,0)</f>
        <v>6.7984728957526396E-14</v>
      </c>
      <c r="GB92" s="13">
        <f t="shared" si="103"/>
        <v>1.0682447123141398E-12</v>
      </c>
      <c r="GC92" s="20">
        <f t="shared" si="79"/>
        <v>1.978932943548152E-12</v>
      </c>
      <c r="GD92" s="59">
        <f t="shared" si="80"/>
        <v>293.3333333333353</v>
      </c>
      <c r="GE92" s="59">
        <f ca="1">AVERAGE(OFFSET($GD$3,0,0,'Données projet'!$E$17+1,1))-AVERAGE(OFFSET($H$3,0,0,'Données projet'!$E$17+1,1))</f>
        <v>259.30247982593914</v>
      </c>
      <c r="GF92" s="59">
        <f t="shared" si="104"/>
        <v>275.24740346220779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</v>
      </c>
      <c r="GM92" s="21">
        <f>EXP(-LN(2)/25)*GM91+(1-EXP(-LN(2)/25))/(LN(2)/25)*Calculateur!GH92*Calculateur!GJ92*VLOOKUP('Données projet'!$B$17,Paramètres!$A$1:$I$89,3,0)*0.475*44/12</f>
        <v>3.5126712547722323</v>
      </c>
      <c r="GN92" s="21">
        <f>EXP(-LN(2)/2)*GN91+(1-EXP(-LN(2)/2))/(LN(2)/2)*GH92*GK92*VLOOKUP('Données projet'!$B$17,Paramètres!$A$1:$I$89,3,0)*0.475*44/12</f>
        <v>3.7774732249258721E-8</v>
      </c>
      <c r="GO92" s="21">
        <f t="shared" si="81"/>
        <v>3.5126712925469645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5.6843418860808015E-14</v>
      </c>
      <c r="GV92" s="17">
        <f>GU92*VLOOKUP('Données projet'!$B$18,Paramètres!$A$1:$I$89,3,0)*VLOOKUP('Données projet'!$B$18,Paramètres!$A$1:$I$89,5,0)</f>
        <v>4.5224624045658861E-14</v>
      </c>
      <c r="GW92" s="13">
        <f t="shared" si="105"/>
        <v>7.4514601661523691E-13</v>
      </c>
      <c r="GX92" s="20">
        <f t="shared" si="82"/>
        <v>1.3765621991510601E-12</v>
      </c>
      <c r="GY92" s="59">
        <f t="shared" si="83"/>
        <v>293.33333333333468</v>
      </c>
      <c r="GZ92" s="59">
        <f ca="1">AVERAGE(OFFSET($GY$3,0,0,'Données projet'!$E$18+1,1))-AVERAGE(OFFSET($H$3,0,0,'Données projet'!$E$18+1,1))</f>
        <v>199.58763537752952</v>
      </c>
      <c r="HA92" s="59">
        <f t="shared" si="106"/>
        <v>242.62852778451929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0</v>
      </c>
      <c r="HH92" s="21">
        <f>EXP(-LN(2)/25)*HH91+(1-EXP(-LN(2)/25))/(LN(2)/25)*Calculateur!HC92*Calculateur!HE92*VLOOKUP('Données projet'!$B$18,Paramètres!$A$1:$I$89,3,0)*0.475*44/12</f>
        <v>2.0030327596120183</v>
      </c>
      <c r="HI92" s="21">
        <f>EXP(-LN(2)/2)*HI91+(1-EXP(-LN(2)/2))/(LN(2)/2)*HC92*HF92*VLOOKUP('Données projet'!$B$18,Paramètres!$A$1:$I$89,3,0)*0.475*44/12</f>
        <v>1.4173930354381025E-8</v>
      </c>
      <c r="HJ92" s="22">
        <f t="shared" si="84"/>
        <v>2.0030327737859488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5.6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296.00000000000045</v>
      </c>
      <c r="O93" s="13">
        <f>N93*VLOOKUP('Données projet'!$B$9,Paramètres!$A$1:$I$89,3,0)*VLOOKUP('Données projet'!$B$9,Paramètres!$A$1:$I$89,5,0)</f>
        <v>267.82080000000042</v>
      </c>
      <c r="P93" s="13">
        <f t="shared" si="87"/>
        <v>64.38657014789743</v>
      </c>
      <c r="Q93" s="20">
        <f t="shared" si="54"/>
        <v>578.59450300758874</v>
      </c>
      <c r="R93" s="59">
        <f t="shared" si="55"/>
        <v>871.92783634092211</v>
      </c>
      <c r="S93" s="59">
        <f ca="1">AVERAGE(OFFSET($R$3,0,0,'Données projet'!$E$9+1,1))-AVERAGE(OFFSET($H$3,0,0,'Données projet'!$E$9+1,1))</f>
        <v>237.22177246688199</v>
      </c>
      <c r="T93" s="59">
        <f t="shared" si="88"/>
        <v>149.27472147904302</v>
      </c>
      <c r="U93" s="15">
        <f>IF(ISNA(VLOOKUP(A93,'Données projet'!$A$35:$I$55,3,0)),0,VLOOKUP(A93,'Données projet'!$A$35:$I$55,3,0))</f>
        <v>7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0.58846524282499868</v>
      </c>
      <c r="AB93" s="21">
        <f>EXP(-LN(2)/2)*AB92+(1-EXP(-LN(2)/2))/(LN(2)/2)*V93*Y93*VLOOKUP('Données projet'!$B$9,Paramètres!$A$1:$I$89,3,0)*0.475*44/12</f>
        <v>5.7642793789770708E-9</v>
      </c>
      <c r="AC93" s="22">
        <f t="shared" si="57"/>
        <v>0.58846524858927807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5.6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296.00000000000045</v>
      </c>
      <c r="AJ93" s="13">
        <f>AI93*VLOOKUP('Données projet'!$B$10,Paramètres!$A$1:$I$89,3,0)*VLOOKUP('Données projet'!$B$10,Paramètres!$A$1:$I$89,5,0)</f>
        <v>300.14400000000046</v>
      </c>
      <c r="AK93" s="13">
        <f t="shared" si="89"/>
        <v>71.206650563609927</v>
      </c>
      <c r="AL93" s="20">
        <f t="shared" si="58"/>
        <v>646.76904973162129</v>
      </c>
      <c r="AM93" s="59">
        <f t="shared" si="59"/>
        <v>940.10238306495467</v>
      </c>
      <c r="AN93" s="59">
        <f ca="1">AVERAGE(OFFSET($AM$3,0,0,'Données projet'!$E$10+1,1))-AVERAGE(OFFSET($H$3,0,0,'Données projet'!$E$10+1,1))</f>
        <v>279.20364724206644</v>
      </c>
      <c r="AO93" s="59">
        <f t="shared" si="90"/>
        <v>173.99850582760712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0.65948691006249838</v>
      </c>
      <c r="AW93" s="21">
        <f>EXP(-LN(2)/2)*AW92+(1-EXP(-LN(2)/2))/(LN(2)/2)*AQ93*AT93*VLOOKUP('Données projet'!$B$10,Paramètres!$A$1:$I$89,3,0)*0.475*44/12</f>
        <v>6.459968269543268E-9</v>
      </c>
      <c r="AX93" s="21">
        <f t="shared" si="60"/>
        <v>0.6594869165224666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624.6</v>
      </c>
      <c r="BB93" s="12">
        <f>VLOOKUP(A93,'Données projet'!$A$87:$I$107,9,0)</f>
        <v>17.5</v>
      </c>
      <c r="BC93" s="12">
        <f t="array" ref="BC93">INDEX(BB:BB,MIN(IF(ISNUMBER(BB93:BB289),ROW(BB93:BB289),"")))</f>
        <v>17.5</v>
      </c>
      <c r="BD93" s="12">
        <f>IF('Données projet'!$A$88&gt;35,BD92+BC93-BL92,IF(A93&lt;'Données projet'!$A$88,$BA$205^A93,IF(A93='Données projet'!$A$88,'Données projet'!$B$88,BD92+BC93-BL92)))</f>
        <v>624.59999999999991</v>
      </c>
      <c r="BE93" s="13">
        <f>BD93*VLOOKUP('Données projet'!$B$11,Paramètres!$A$1:$I$89,3,0)*VLOOKUP('Données projet'!$B$11,Paramètres!$A$1:$I$89,5,0)</f>
        <v>292.31279999999998</v>
      </c>
      <c r="BF93" s="13">
        <f t="shared" si="91"/>
        <v>69.562504549179678</v>
      </c>
      <c r="BG93" s="20">
        <f t="shared" si="61"/>
        <v>630.26615542315449</v>
      </c>
      <c r="BH93" s="59">
        <f t="shared" si="62"/>
        <v>923.59948875648774</v>
      </c>
      <c r="BI93" s="59">
        <f ca="1">AVERAGE(OFFSET($BH$3,0,0,'Données projet'!$E$11+1,1))-AVERAGE(OFFSET($H$3,0,0,'Données projet'!$E$11+1,1))</f>
        <v>215.23235148064941</v>
      </c>
      <c r="BJ93" s="59">
        <f t="shared" si="92"/>
        <v>184.07239726900434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83.4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0.95527444320937926</v>
      </c>
      <c r="BQ93" s="21">
        <f>EXP(-LN(2)/25)*BQ92+(1-EXP(-LN(2)/25))/(LN(2)/25)*Calculateur!BL93*Calculateur!BN93*VLOOKUP('Données projet'!$B$11,Paramètres!$A$1:$I$89,3,0)*0.475*44/12</f>
        <v>1.4883321823724296</v>
      </c>
      <c r="BR93" s="21">
        <f>EXP(-LN(2)/2)*BR92+(1-EXP(-LN(2)/2))/(LN(2)/2)*BL93*BO93*VLOOKUP('Données projet'!$B$11,Paramètres!$A$1:$I$89,3,0)*0.475*44/12</f>
        <v>9.1569279137030168E-9</v>
      </c>
      <c r="BS93" s="22">
        <f t="shared" si="63"/>
        <v>2.4436066347387371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296</v>
      </c>
      <c r="BW93" s="12">
        <f>VLOOKUP(A93,'Données projet'!$A$113:$I$133,9,0)</f>
        <v>5.6</v>
      </c>
      <c r="BX93" s="12">
        <f t="array" ref="BX93">INDEX(BW:BW,MIN(IF(ISNUMBER(BW93:BW289),ROW(BW93:BW289),"")))</f>
        <v>5.6</v>
      </c>
      <c r="BY93" s="12">
        <f>IF('Données projet'!$A$114&gt;35,BY92+BX93-CG92,IF(A93&lt;'Données projet'!$A$114,$BV$205^A93,IF(A93='Données projet'!$A$114,'Données projet'!$B$114,BY92+BX93-CG92)))</f>
        <v>296.00000000000045</v>
      </c>
      <c r="BZ93" s="13">
        <f>BY93*VLOOKUP('Données projet'!$B$12,Paramètres!$A$1:$I$89,3,0)*VLOOKUP('Données projet'!$B$12,Paramètres!$A$1:$I$89,5,0)</f>
        <v>318.61440000000044</v>
      </c>
      <c r="CA93" s="13">
        <f t="shared" si="93"/>
        <v>75.064979865028491</v>
      </c>
      <c r="CB93" s="20">
        <f t="shared" si="64"/>
        <v>685.65825326492529</v>
      </c>
      <c r="CC93" s="59">
        <f t="shared" si="65"/>
        <v>978.99158659825866</v>
      </c>
      <c r="CD93" s="59">
        <f ca="1">AVERAGE(OFFSET($CC$3,0,0,'Données projet'!$E$12+1,1))-AVERAGE(OFFSET($H$3,0,0,'Données projet'!$E$12+1,1))</f>
        <v>303.1504619632214</v>
      </c>
      <c r="CE93" s="59">
        <f t="shared" si="94"/>
        <v>188.09929616366503</v>
      </c>
      <c r="CF93" s="15">
        <f>IF(ISNA(VLOOKUP(A93,'Données projet'!$A$113:$I$133,3,0)),0,VLOOKUP(A93,'Données projet'!$A$113:$I$133,3,0))</f>
        <v>7</v>
      </c>
      <c r="CG93" s="15">
        <f>IF(ISNA(VLOOKUP(A93,'Données projet'!$A$113:$I$133,4,0)),0,VLOOKUP(A93,'Données projet'!$A$113:$I$133,4,0))</f>
        <v>42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0.70007071991249858</v>
      </c>
      <c r="CM93" s="21">
        <f>EXP(-LN(2)/2)*CM92+(1-EXP(-LN(2)/2))/(LN(2)/2)*CG93*CJ93*VLOOKUP('Données projet'!$B$12,Paramètres!$A$1:$I$89,3,0)*0.475*44/12</f>
        <v>6.8575047784382513E-9</v>
      </c>
      <c r="CN93" s="22">
        <f t="shared" si="66"/>
        <v>0.70007072677000337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5.6843418860808015E-14</v>
      </c>
      <c r="CU93" s="17">
        <f>CT93*VLOOKUP('Données projet'!$B$13,Paramètres!$A$1:$I$89,3,0)*VLOOKUP('Données projet'!$B$13,Paramètres!$A$1:$I$89,5,0)</f>
        <v>3.813056537183002E-14</v>
      </c>
      <c r="CV93" s="13">
        <f t="shared" si="95"/>
        <v>6.4086286045526829E-13</v>
      </c>
      <c r="CW93" s="20">
        <f t="shared" si="67"/>
        <v>1.1825802166488628E-12</v>
      </c>
      <c r="CX93" s="59">
        <f t="shared" si="68"/>
        <v>293.33333333333451</v>
      </c>
      <c r="CY93" s="59">
        <f ca="1">AVERAGE(OFFSET($CX$3,0,0,'Données projet'!$E$13+1,1))-AVERAGE(OFFSET($H$3,0,0,'Données projet'!$E$13+1,1))</f>
        <v>156.63226020379989</v>
      </c>
      <c r="CZ93" s="59">
        <f t="shared" si="96"/>
        <v>196.0481096619543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1.6426503550787668</v>
      </c>
      <c r="DH93" s="21">
        <f>EXP(-LN(2)/2)*DH92+(1-EXP(-LN(2)/2))/(LN(2)/2)*DB93*DE93*VLOOKUP('Données projet'!$B$13,Paramètres!$A$1:$I$89,3,0)*0.475*44/12</f>
        <v>8.4503281881351429E-9</v>
      </c>
      <c r="DI93" s="22">
        <f t="shared" si="69"/>
        <v>1.642650363529095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-8.5265128291212022E-14</v>
      </c>
      <c r="DP93" s="17">
        <f>DO93*VLOOKUP('Données projet'!$B$14,Paramètres!$A$1:$I$89,3,0)*VLOOKUP('Données projet'!$B$14,Paramètres!$A$1:$I$89,5,0)</f>
        <v>-7.7147888077888636E-14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225.28075317732998</v>
      </c>
      <c r="DU93" s="59">
        <f t="shared" si="98"/>
        <v>358.43407531256207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0.6837216233278387</v>
      </c>
      <c r="EB93" s="21">
        <f>EXP(-LN(2)/25)*EB92+(1-EXP(-LN(2)/25))/(LN(2)/25)*Calculateur!DW93*Calculateur!DY93*VLOOKUP('Données projet'!$B$14,Paramètres!$A$1:$I$89,3,0)*0.475*44/12</f>
        <v>1.5672616686352263</v>
      </c>
      <c r="EC93" s="21">
        <f>EXP(-LN(2)/2)*EC92+(1-EXP(-LN(2)/2))/(LN(2)/2)*DW93*DZ93*VLOOKUP('Données projet'!$B$14,Paramètres!$A$1:$I$89,3,0)*0.475*44/12</f>
        <v>4.1108775092005019E-9</v>
      </c>
      <c r="ED93" s="22">
        <f t="shared" si="72"/>
        <v>2.2509832960739424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-5.6843418860808015E-13</v>
      </c>
      <c r="EK93" s="17">
        <f>EJ93*VLOOKUP('Données projet'!$B$15,Paramètres!$A$1:$I$89,3,0)*VLOOKUP('Données projet'!$B$15,Paramètres!$A$1:$I$89,5,0)</f>
        <v>-3.177547114319168E-13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326.31232746914907</v>
      </c>
      <c r="EP93" s="59">
        <f t="shared" si="100"/>
        <v>330.17137761430297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1.3920968647108367</v>
      </c>
      <c r="EW93" s="21">
        <f>EXP(-LN(2)/25)*EW92+(1-EXP(-LN(2)/25))/(LN(2)/25)*Calculateur!ER93*Calculateur!ET93*VLOOKUP('Données projet'!$B$15,Paramètres!$A$1:$I$89,3,0)*0.475*44/12</f>
        <v>5.7167046938851023</v>
      </c>
      <c r="EX93" s="21">
        <f>EXP(-LN(2)/2)*EX92+(1-EXP(-LN(2)/2))/(LN(2)/2)*ER93*EU93*VLOOKUP('Données projet'!$B$15,Paramètres!$A$1:$I$89,3,0)*0.475*44/12</f>
        <v>3.0288555073025861E-8</v>
      </c>
      <c r="EY93" s="22">
        <f t="shared" si="75"/>
        <v>7.1088015888844938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255.41017495879987</v>
      </c>
      <c r="FK93" s="59">
        <f t="shared" si="102"/>
        <v>297.50513563712764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2.5428576979073201</v>
      </c>
      <c r="FR93" s="21">
        <f>EXP(-LN(2)/25)*FR92+(1-EXP(-LN(2)/25))/(LN(2)/25)*Calculateur!FM93*Calculateur!FO93*VLOOKUP('Données projet'!$B$16,Paramètres!$A$1:$I$89,3,0)*0.475*44/12</f>
        <v>5.2803525242858926</v>
      </c>
      <c r="FS93" s="21">
        <f>EXP(-LN(2)/2)*FS92+(1-EXP(-LN(2)/2))/(LN(2)/2)*FM93*FP93*VLOOKUP('Données projet'!$B$16,Paramètres!$A$1:$I$89,3,0)*0.475*44/12</f>
        <v>2.2725380153313167E-8</v>
      </c>
      <c r="FT93" s="22">
        <f t="shared" si="78"/>
        <v>7.8232102449185925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1.1368683772161603E-13</v>
      </c>
      <c r="GA93" s="17">
        <f>FZ93*VLOOKUP('Données projet'!$B$17,Paramètres!$A$1:$I$89,3,0)*VLOOKUP('Données projet'!$B$17,Paramètres!$A$1:$I$89,5,0)</f>
        <v>6.7984728957526396E-14</v>
      </c>
      <c r="GB93" s="13">
        <f t="shared" si="103"/>
        <v>1.0682447123141398E-12</v>
      </c>
      <c r="GC93" s="20">
        <f t="shared" si="79"/>
        <v>1.978932943548152E-12</v>
      </c>
      <c r="GD93" s="59">
        <f t="shared" si="80"/>
        <v>293.3333333333353</v>
      </c>
      <c r="GE93" s="59">
        <f ca="1">AVERAGE(OFFSET($GD$3,0,0,'Données projet'!$E$17+1,1))-AVERAGE(OFFSET($H$3,0,0,'Données projet'!$E$17+1,1))</f>
        <v>259.30247982593914</v>
      </c>
      <c r="GF93" s="59">
        <f t="shared" si="104"/>
        <v>275.24740346220779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</v>
      </c>
      <c r="GM93" s="21">
        <f>EXP(-LN(2)/25)*GM92+(1-EXP(-LN(2)/25))/(LN(2)/25)*Calculateur!GH93*Calculateur!GJ93*VLOOKUP('Données projet'!$B$17,Paramètres!$A$1:$I$89,3,0)*0.475*44/12</f>
        <v>3.4166170745871325</v>
      </c>
      <c r="GN93" s="21">
        <f>EXP(-LN(2)/2)*GN92+(1-EXP(-LN(2)/2))/(LN(2)/2)*GH93*GK93*VLOOKUP('Données projet'!$B$17,Paramètres!$A$1:$I$89,3,0)*0.475*44/12</f>
        <v>2.6710769330957007E-8</v>
      </c>
      <c r="GO93" s="21">
        <f t="shared" si="81"/>
        <v>3.4166171012979016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5.6843418860808015E-14</v>
      </c>
      <c r="GV93" s="17">
        <f>GU93*VLOOKUP('Données projet'!$B$18,Paramètres!$A$1:$I$89,3,0)*VLOOKUP('Données projet'!$B$18,Paramètres!$A$1:$I$89,5,0)</f>
        <v>4.5224624045658861E-14</v>
      </c>
      <c r="GW93" s="13">
        <f t="shared" si="105"/>
        <v>7.4514601661523691E-13</v>
      </c>
      <c r="GX93" s="20">
        <f t="shared" si="82"/>
        <v>1.3765621991510601E-12</v>
      </c>
      <c r="GY93" s="59">
        <f t="shared" si="83"/>
        <v>293.33333333333468</v>
      </c>
      <c r="GZ93" s="59">
        <f ca="1">AVERAGE(OFFSET($GY$3,0,0,'Données projet'!$E$18+1,1))-AVERAGE(OFFSET($H$3,0,0,'Données projet'!$E$18+1,1))</f>
        <v>199.58763537752952</v>
      </c>
      <c r="HA93" s="59">
        <f t="shared" si="106"/>
        <v>242.62852778451929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0</v>
      </c>
      <c r="HH93" s="21">
        <f>EXP(-LN(2)/25)*HH92+(1-EXP(-LN(2)/25))/(LN(2)/25)*Calculateur!HC93*Calculateur!HE93*VLOOKUP('Données projet'!$B$18,Paramètres!$A$1:$I$89,3,0)*0.475*44/12</f>
        <v>1.9482597234655128</v>
      </c>
      <c r="HI93" s="21">
        <f>EXP(-LN(2)/2)*HI92+(1-EXP(-LN(2)/2))/(LN(2)/2)*HC93*HF93*VLOOKUP('Données projet'!$B$18,Paramètres!$A$1:$I$89,3,0)*0.475*44/12</f>
        <v>1.0022482269648667E-8</v>
      </c>
      <c r="HJ93" s="22">
        <f t="shared" si="84"/>
        <v>1.948259733487995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258.90000000000043</v>
      </c>
      <c r="O94" s="13">
        <f>N94*VLOOKUP('Données projet'!$B$9,Paramètres!$A$1:$I$89,3,0)*VLOOKUP('Données projet'!$B$9,Paramètres!$A$1:$I$89,5,0)</f>
        <v>234.25272000000038</v>
      </c>
      <c r="P94" s="13">
        <f t="shared" si="87"/>
        <v>57.2012362311714</v>
      </c>
      <c r="Q94" s="20">
        <f t="shared" si="54"/>
        <v>507.61564043595746</v>
      </c>
      <c r="R94" s="59">
        <f t="shared" si="55"/>
        <v>800.94897376929077</v>
      </c>
      <c r="S94" s="59">
        <f ca="1">AVERAGE(OFFSET($R$3,0,0,'Données projet'!$E$9+1,1))-AVERAGE(OFFSET($H$3,0,0,'Données projet'!$E$9+1,1))</f>
        <v>237.22177246688199</v>
      </c>
      <c r="T94" s="59">
        <f t="shared" si="88"/>
        <v>149.27472147904302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0.57237362981390694</v>
      </c>
      <c r="AB94" s="21">
        <f>EXP(-LN(2)/2)*AB93+(1-EXP(-LN(2)/2))/(LN(2)/2)*V94*Y94*VLOOKUP('Données projet'!$B$9,Paramètres!$A$1:$I$89,3,0)*0.475*44/12</f>
        <v>4.0759610375284676E-9</v>
      </c>
      <c r="AC94" s="22">
        <f t="shared" si="57"/>
        <v>0.57237363388986795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258.90000000000043</v>
      </c>
      <c r="AJ94" s="13">
        <f>AI94*VLOOKUP('Données projet'!$B$10,Paramètres!$A$1:$I$89,3,0)*VLOOKUP('Données projet'!$B$10,Paramètres!$A$1:$I$89,5,0)</f>
        <v>262.52460000000042</v>
      </c>
      <c r="AK94" s="13">
        <f t="shared" si="89"/>
        <v>63.2602176317748</v>
      </c>
      <c r="AL94" s="20">
        <f t="shared" si="58"/>
        <v>567.40855737534184</v>
      </c>
      <c r="AM94" s="59">
        <f t="shared" si="59"/>
        <v>860.7418907086751</v>
      </c>
      <c r="AN94" s="59">
        <f ca="1">AVERAGE(OFFSET($AM$3,0,0,'Données projet'!$E$10+1,1))-AVERAGE(OFFSET($H$3,0,0,'Données projet'!$E$10+1,1))</f>
        <v>279.20364724206644</v>
      </c>
      <c r="AO94" s="59">
        <f t="shared" si="90"/>
        <v>173.99850582760712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0.64145320582593002</v>
      </c>
      <c r="AW94" s="21">
        <f>EXP(-LN(2)/2)*AW93+(1-EXP(-LN(2)/2))/(LN(2)/2)*AQ94*AT94*VLOOKUP('Données projet'!$B$10,Paramètres!$A$1:$I$89,3,0)*0.475*44/12</f>
        <v>4.5678873696439716E-9</v>
      </c>
      <c r="AX94" s="21">
        <f t="shared" si="60"/>
        <v>0.64145321039381742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18.5</v>
      </c>
      <c r="BD94" s="12">
        <f>IF('Données projet'!$A$88&gt;35,BD93+BC94-BL93,IF(A94&lt;'Données projet'!$A$88,$BA$205^A94,IF(A94='Données projet'!$A$88,'Données projet'!$B$88,BD93+BC94-BL93)))</f>
        <v>559.69999999999993</v>
      </c>
      <c r="BE94" s="13">
        <f>BD94*VLOOKUP('Données projet'!$B$11,Paramètres!$A$1:$I$89,3,0)*VLOOKUP('Données projet'!$B$11,Paramètres!$A$1:$I$89,5,0)</f>
        <v>261.93959999999998</v>
      </c>
      <c r="BF94" s="13">
        <f t="shared" si="91"/>
        <v>63.135643285567426</v>
      </c>
      <c r="BG94" s="20">
        <f t="shared" si="61"/>
        <v>566.1727153890298</v>
      </c>
      <c r="BH94" s="59">
        <f t="shared" si="62"/>
        <v>859.50604872236318</v>
      </c>
      <c r="BI94" s="59">
        <f ca="1">AVERAGE(OFFSET($BH$3,0,0,'Données projet'!$E$11+1,1))-AVERAGE(OFFSET($H$3,0,0,'Données projet'!$E$11+1,1))</f>
        <v>215.23235148064941</v>
      </c>
      <c r="BJ94" s="59">
        <f t="shared" si="92"/>
        <v>184.07239726900434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0.93654209403792077</v>
      </c>
      <c r="BQ94" s="21">
        <f>EXP(-LN(2)/25)*BQ93+(1-EXP(-LN(2)/25))/(LN(2)/25)*Calculateur!BL94*Calculateur!BN94*VLOOKUP('Données projet'!$B$11,Paramètres!$A$1:$I$89,3,0)*0.475*44/12</f>
        <v>1.4476336605774676</v>
      </c>
      <c r="BR94" s="21">
        <f>EXP(-LN(2)/2)*BR93+(1-EXP(-LN(2)/2))/(LN(2)/2)*BL94*BO94*VLOOKUP('Données projet'!$B$11,Paramètres!$A$1:$I$89,3,0)*0.475*44/12</f>
        <v>6.4749258226157884E-9</v>
      </c>
      <c r="BS94" s="22">
        <f t="shared" si="63"/>
        <v>2.3841757610903143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4.9000000000000004</v>
      </c>
      <c r="BY94" s="12">
        <f>IF('Données projet'!$A$114&gt;35,BY93+BX94-CG93,IF(A94&lt;'Données projet'!$A$114,$BV$205^A94,IF(A94='Données projet'!$A$114,'Données projet'!$B$114,BY93+BX94-CG93)))</f>
        <v>258.90000000000043</v>
      </c>
      <c r="BZ94" s="13">
        <f>BY94*VLOOKUP('Données projet'!$B$12,Paramètres!$A$1:$I$89,3,0)*VLOOKUP('Données projet'!$B$12,Paramètres!$A$1:$I$89,5,0)</f>
        <v>278.67996000000045</v>
      </c>
      <c r="CA94" s="13">
        <f t="shared" si="93"/>
        <v>66.687969806197856</v>
      </c>
      <c r="CB94" s="20">
        <f t="shared" si="64"/>
        <v>601.51581107912864</v>
      </c>
      <c r="CC94" s="59">
        <f t="shared" si="65"/>
        <v>894.84914441246201</v>
      </c>
      <c r="CD94" s="59">
        <f ca="1">AVERAGE(OFFSET($CC$3,0,0,'Données projet'!$E$12+1,1))-AVERAGE(OFFSET($H$3,0,0,'Données projet'!$E$12+1,1))</f>
        <v>303.1504619632214</v>
      </c>
      <c r="CE94" s="59">
        <f t="shared" si="94"/>
        <v>188.09929616366503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0.68092724926137216</v>
      </c>
      <c r="CM94" s="21">
        <f>EXP(-LN(2)/2)*CM93+(1-EXP(-LN(2)/2))/(LN(2)/2)*CG94*CJ94*VLOOKUP('Données projet'!$B$12,Paramètres!$A$1:$I$89,3,0)*0.475*44/12</f>
        <v>4.8489881308528405E-9</v>
      </c>
      <c r="CN94" s="22">
        <f t="shared" si="66"/>
        <v>0.68092725411036026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5.6843418860808015E-14</v>
      </c>
      <c r="CU94" s="17">
        <f>CT94*VLOOKUP('Données projet'!$B$13,Paramètres!$A$1:$I$89,3,0)*VLOOKUP('Données projet'!$B$13,Paramètres!$A$1:$I$89,5,0)</f>
        <v>3.813056537183002E-14</v>
      </c>
      <c r="CV94" s="13">
        <f t="shared" si="95"/>
        <v>6.4086286045526829E-13</v>
      </c>
      <c r="CW94" s="20">
        <f t="shared" si="67"/>
        <v>1.1825802166488628E-12</v>
      </c>
      <c r="CX94" s="59">
        <f t="shared" si="68"/>
        <v>293.33333333333451</v>
      </c>
      <c r="CY94" s="59">
        <f ca="1">AVERAGE(OFFSET($CX$3,0,0,'Données projet'!$E$13+1,1))-AVERAGE(OFFSET($H$3,0,0,'Données projet'!$E$13+1,1))</f>
        <v>156.63226020379989</v>
      </c>
      <c r="CZ94" s="59">
        <f t="shared" si="96"/>
        <v>196.0481096619543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1.5977319947359101</v>
      </c>
      <c r="DH94" s="21">
        <f>EXP(-LN(2)/2)*DH93+(1-EXP(-LN(2)/2))/(LN(2)/2)*DB94*DE94*VLOOKUP('Données projet'!$B$13,Paramètres!$A$1:$I$89,3,0)*0.475*44/12</f>
        <v>5.9752843650821911E-9</v>
      </c>
      <c r="DI94" s="22">
        <f t="shared" si="69"/>
        <v>1.5977320007111944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-8.5265128291212022E-14</v>
      </c>
      <c r="DP94" s="17">
        <f>DO94*VLOOKUP('Données projet'!$B$14,Paramètres!$A$1:$I$89,3,0)*VLOOKUP('Données projet'!$B$14,Paramètres!$A$1:$I$89,5,0)</f>
        <v>-7.7147888077888636E-14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225.28075317732998</v>
      </c>
      <c r="DU94" s="59">
        <f t="shared" si="98"/>
        <v>358.43407531256207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0.67031425932339184</v>
      </c>
      <c r="EB94" s="21">
        <f>EXP(-LN(2)/25)*EB93+(1-EXP(-LN(2)/25))/(LN(2)/25)*Calculateur!DW94*Calculateur!DY94*VLOOKUP('Données projet'!$B$14,Paramètres!$A$1:$I$89,3,0)*0.475*44/12</f>
        <v>1.5244048158876868</v>
      </c>
      <c r="EC94" s="21">
        <f>EXP(-LN(2)/2)*EC93+(1-EXP(-LN(2)/2))/(LN(2)/2)*DW94*DZ94*VLOOKUP('Données projet'!$B$14,Paramètres!$A$1:$I$89,3,0)*0.475*44/12</f>
        <v>2.9068293633829388E-9</v>
      </c>
      <c r="ED94" s="22">
        <f t="shared" si="72"/>
        <v>2.1947190781179082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-5.6843418860808015E-13</v>
      </c>
      <c r="EK94" s="17">
        <f>EJ94*VLOOKUP('Données projet'!$B$15,Paramètres!$A$1:$I$89,3,0)*VLOOKUP('Données projet'!$B$15,Paramètres!$A$1:$I$89,5,0)</f>
        <v>-3.177547114319168E-13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326.31232746914907</v>
      </c>
      <c r="EP94" s="59">
        <f t="shared" si="100"/>
        <v>330.17137761430297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1.3647986942891035</v>
      </c>
      <c r="EW94" s="21">
        <f>EXP(-LN(2)/25)*EW93+(1-EXP(-LN(2)/25))/(LN(2)/25)*Calculateur!ER94*Calculateur!ET94*VLOOKUP('Données projet'!$B$15,Paramètres!$A$1:$I$89,3,0)*0.475*44/12</f>
        <v>5.5603811034023796</v>
      </c>
      <c r="EX94" s="21">
        <f>EXP(-LN(2)/2)*EX93+(1-EXP(-LN(2)/2))/(LN(2)/2)*ER94*EU94*VLOOKUP('Données projet'!$B$15,Paramètres!$A$1:$I$89,3,0)*0.475*44/12</f>
        <v>2.1417242684478792E-8</v>
      </c>
      <c r="EY94" s="22">
        <f t="shared" si="75"/>
        <v>6.9251798191087257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255.41017495879987</v>
      </c>
      <c r="FK94" s="59">
        <f t="shared" si="102"/>
        <v>297.50513563712764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2.4929938094414057</v>
      </c>
      <c r="FR94" s="21">
        <f>EXP(-LN(2)/25)*FR93+(1-EXP(-LN(2)/25))/(LN(2)/25)*Calculateur!FM94*Calculateur!FO94*VLOOKUP('Données projet'!$B$16,Paramètres!$A$1:$I$89,3,0)*0.475*44/12</f>
        <v>5.1359610068276238</v>
      </c>
      <c r="FS94" s="21">
        <f>EXP(-LN(2)/2)*FS93+(1-EXP(-LN(2)/2))/(LN(2)/2)*FM94*FP94*VLOOKUP('Données projet'!$B$16,Paramètres!$A$1:$I$89,3,0)*0.475*44/12</f>
        <v>1.6069270411449923E-8</v>
      </c>
      <c r="FT94" s="22">
        <f t="shared" si="78"/>
        <v>7.6289548323382999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1.1368683772161603E-13</v>
      </c>
      <c r="GA94" s="17">
        <f>FZ94*VLOOKUP('Données projet'!$B$17,Paramètres!$A$1:$I$89,3,0)*VLOOKUP('Données projet'!$B$17,Paramètres!$A$1:$I$89,5,0)</f>
        <v>6.7984728957526396E-14</v>
      </c>
      <c r="GB94" s="13">
        <f t="shared" si="103"/>
        <v>1.0682447123141398E-12</v>
      </c>
      <c r="GC94" s="20">
        <f t="shared" si="79"/>
        <v>1.978932943548152E-12</v>
      </c>
      <c r="GD94" s="59">
        <f t="shared" si="80"/>
        <v>293.3333333333353</v>
      </c>
      <c r="GE94" s="59">
        <f ca="1">AVERAGE(OFFSET($GD$3,0,0,'Données projet'!$E$17+1,1))-AVERAGE(OFFSET($H$3,0,0,'Données projet'!$E$17+1,1))</f>
        <v>259.30247982593914</v>
      </c>
      <c r="GF94" s="59">
        <f t="shared" si="104"/>
        <v>275.24740346220779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</v>
      </c>
      <c r="GM94" s="21">
        <f>EXP(-LN(2)/25)*GM93+(1-EXP(-LN(2)/25))/(LN(2)/25)*Calculateur!GH94*Calculateur!GJ94*VLOOKUP('Données projet'!$B$17,Paramètres!$A$1:$I$89,3,0)*0.475*44/12</f>
        <v>3.3231895010104644</v>
      </c>
      <c r="GN94" s="21">
        <f>EXP(-LN(2)/2)*GN93+(1-EXP(-LN(2)/2))/(LN(2)/2)*GH94*GK94*VLOOKUP('Données projet'!$B$17,Paramètres!$A$1:$I$89,3,0)*0.475*44/12</f>
        <v>1.8887366124629361E-8</v>
      </c>
      <c r="GO94" s="21">
        <f t="shared" si="81"/>
        <v>3.3231895198978307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5.6843418860808015E-14</v>
      </c>
      <c r="GV94" s="17">
        <f>GU94*VLOOKUP('Données projet'!$B$18,Paramètres!$A$1:$I$89,3,0)*VLOOKUP('Données projet'!$B$18,Paramètres!$A$1:$I$89,5,0)</f>
        <v>4.5224624045658861E-14</v>
      </c>
      <c r="GW94" s="13">
        <f t="shared" si="105"/>
        <v>7.4514601661523691E-13</v>
      </c>
      <c r="GX94" s="20">
        <f t="shared" si="82"/>
        <v>1.3765621991510601E-12</v>
      </c>
      <c r="GY94" s="59">
        <f t="shared" si="83"/>
        <v>293.33333333333468</v>
      </c>
      <c r="GZ94" s="59">
        <f ca="1">AVERAGE(OFFSET($GY$3,0,0,'Données projet'!$E$18+1,1))-AVERAGE(OFFSET($H$3,0,0,'Données projet'!$E$18+1,1))</f>
        <v>199.58763537752952</v>
      </c>
      <c r="HA94" s="59">
        <f t="shared" si="106"/>
        <v>242.62852778451929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0</v>
      </c>
      <c r="HH94" s="21">
        <f>EXP(-LN(2)/25)*HH93+(1-EXP(-LN(2)/25))/(LN(2)/25)*Calculateur!HC94*Calculateur!HE94*VLOOKUP('Données projet'!$B$18,Paramètres!$A$1:$I$89,3,0)*0.475*44/12</f>
        <v>1.8949844588728224</v>
      </c>
      <c r="HI94" s="21">
        <f>EXP(-LN(2)/2)*HI93+(1-EXP(-LN(2)/2))/(LN(2)/2)*HC94*HF94*VLOOKUP('Données projet'!$B$18,Paramètres!$A$1:$I$89,3,0)*0.475*44/12</f>
        <v>7.0869651771905125E-9</v>
      </c>
      <c r="HJ94" s="22">
        <f t="shared" si="84"/>
        <v>1.8949844659597876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263.80000000000041</v>
      </c>
      <c r="O95" s="13">
        <f>N95*VLOOKUP('Données projet'!$B$9,Paramètres!$A$1:$I$89,3,0)*VLOOKUP('Données projet'!$B$9,Paramètres!$A$1:$I$89,5,0)</f>
        <v>238.68624000000034</v>
      </c>
      <c r="P95" s="13">
        <f t="shared" si="87"/>
        <v>58.156778382060978</v>
      </c>
      <c r="Q95" s="20">
        <f t="shared" si="54"/>
        <v>517.00159034875685</v>
      </c>
      <c r="R95" s="59">
        <f t="shared" si="55"/>
        <v>810.33492368209022</v>
      </c>
      <c r="S95" s="59">
        <f ca="1">AVERAGE(OFFSET($R$3,0,0,'Données projet'!$E$9+1,1))-AVERAGE(OFFSET($H$3,0,0,'Données projet'!$E$9+1,1))</f>
        <v>237.22177246688199</v>
      </c>
      <c r="T95" s="59">
        <f t="shared" si="88"/>
        <v>149.27472147904302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0.55672204280682469</v>
      </c>
      <c r="AB95" s="21">
        <f>EXP(-LN(2)/2)*AB94+(1-EXP(-LN(2)/2))/(LN(2)/2)*V95*Y95*VLOOKUP('Données projet'!$B$9,Paramètres!$A$1:$I$89,3,0)*0.475*44/12</f>
        <v>2.8821396894885354E-9</v>
      </c>
      <c r="AC95" s="22">
        <f t="shared" si="57"/>
        <v>0.55672204568896433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263.80000000000041</v>
      </c>
      <c r="AJ95" s="13">
        <f>AI95*VLOOKUP('Données projet'!$B$10,Paramètres!$A$1:$I$89,3,0)*VLOOKUP('Données projet'!$B$10,Paramètres!$A$1:$I$89,5,0)</f>
        <v>267.49320000000046</v>
      </c>
      <c r="AK95" s="13">
        <f t="shared" si="89"/>
        <v>64.316974590266341</v>
      </c>
      <c r="AL95" s="20">
        <f t="shared" si="58"/>
        <v>577.90272074471466</v>
      </c>
      <c r="AM95" s="59">
        <f t="shared" si="59"/>
        <v>871.23605407804803</v>
      </c>
      <c r="AN95" s="59">
        <f ca="1">AVERAGE(OFFSET($AM$3,0,0,'Données projet'!$E$10+1,1))-AVERAGE(OFFSET($H$3,0,0,'Données projet'!$E$10+1,1))</f>
        <v>279.20364724206644</v>
      </c>
      <c r="AO95" s="59">
        <f t="shared" si="90"/>
        <v>173.99850582760712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0.62391263418006193</v>
      </c>
      <c r="AW95" s="21">
        <f>EXP(-LN(2)/2)*AW94+(1-EXP(-LN(2)/2))/(LN(2)/2)*AQ95*AT95*VLOOKUP('Données projet'!$B$10,Paramètres!$A$1:$I$89,3,0)*0.475*44/12</f>
        <v>3.229984134771634E-9</v>
      </c>
      <c r="AX95" s="21">
        <f t="shared" si="60"/>
        <v>0.6239126374100461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18.5</v>
      </c>
      <c r="BD95" s="12">
        <f>IF('Données projet'!$A$88&gt;35,BD94+BC95-BL94,IF(A95&lt;'Données projet'!$A$88,$BA$205^A95,IF(A95='Données projet'!$A$88,'Données projet'!$B$88,BD94+BC95-BL94)))</f>
        <v>578.19999999999993</v>
      </c>
      <c r="BE95" s="13">
        <f>BD95*VLOOKUP('Données projet'!$B$11,Paramètres!$A$1:$I$89,3,0)*VLOOKUP('Données projet'!$B$11,Paramètres!$A$1:$I$89,5,0)</f>
        <v>270.59759999999994</v>
      </c>
      <c r="BF95" s="13">
        <f t="shared" si="91"/>
        <v>64.976078766498532</v>
      </c>
      <c r="BG95" s="20">
        <f t="shared" si="61"/>
        <v>584.45749051831808</v>
      </c>
      <c r="BH95" s="59">
        <f t="shared" si="62"/>
        <v>877.79082385165134</v>
      </c>
      <c r="BI95" s="59">
        <f ca="1">AVERAGE(OFFSET($BH$3,0,0,'Données projet'!$E$11+1,1))-AVERAGE(OFFSET($H$3,0,0,'Données projet'!$E$11+1,1))</f>
        <v>215.23235148064941</v>
      </c>
      <c r="BJ95" s="59">
        <f t="shared" si="92"/>
        <v>184.07239726900434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0.91817707480810984</v>
      </c>
      <c r="BQ95" s="21">
        <f>EXP(-LN(2)/25)*BQ94+(1-EXP(-LN(2)/25))/(LN(2)/25)*Calculateur!BL95*Calculateur!BN95*VLOOKUP('Données projet'!$B$11,Paramètres!$A$1:$I$89,3,0)*0.475*44/12</f>
        <v>1.4080480420012311</v>
      </c>
      <c r="BR95" s="21">
        <f>EXP(-LN(2)/2)*BR94+(1-EXP(-LN(2)/2))/(LN(2)/2)*BL95*BO95*VLOOKUP('Données projet'!$B$11,Paramètres!$A$1:$I$89,3,0)*0.475*44/12</f>
        <v>4.5784639568515084E-9</v>
      </c>
      <c r="BS95" s="22">
        <f t="shared" si="63"/>
        <v>2.3262251213878047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4.9000000000000004</v>
      </c>
      <c r="BY95" s="12">
        <f>IF('Données projet'!$A$114&gt;35,BY94+BX95-CG94,IF(A95&lt;'Données projet'!$A$114,$BV$205^A95,IF(A95='Données projet'!$A$114,'Données projet'!$B$114,BY94+BX95-CG94)))</f>
        <v>263.80000000000041</v>
      </c>
      <c r="BZ95" s="13">
        <f>BY95*VLOOKUP('Données projet'!$B$12,Paramètres!$A$1:$I$89,3,0)*VLOOKUP('Données projet'!$B$12,Paramètres!$A$1:$I$89,5,0)</f>
        <v>283.95432000000045</v>
      </c>
      <c r="CA95" s="13">
        <f t="shared" si="93"/>
        <v>67.80198709508204</v>
      </c>
      <c r="CB95" s="20">
        <f t="shared" si="64"/>
        <v>612.6422348572687</v>
      </c>
      <c r="CC95" s="59">
        <f t="shared" si="65"/>
        <v>905.97556819060196</v>
      </c>
      <c r="CD95" s="59">
        <f ca="1">AVERAGE(OFFSET($CC$3,0,0,'Données projet'!$E$12+1,1))-AVERAGE(OFFSET($H$3,0,0,'Données projet'!$E$12+1,1))</f>
        <v>303.1504619632214</v>
      </c>
      <c r="CE95" s="59">
        <f t="shared" si="94"/>
        <v>188.09929616366503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0.66230725782191213</v>
      </c>
      <c r="CM95" s="21">
        <f>EXP(-LN(2)/2)*CM94+(1-EXP(-LN(2)/2))/(LN(2)/2)*CG95*CJ95*VLOOKUP('Données projet'!$B$12,Paramètres!$A$1:$I$89,3,0)*0.475*44/12</f>
        <v>3.4287523892191257E-9</v>
      </c>
      <c r="CN95" s="22">
        <f t="shared" si="66"/>
        <v>0.66230726125066453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5.6843418860808015E-14</v>
      </c>
      <c r="CU95" s="17">
        <f>CT95*VLOOKUP('Données projet'!$B$13,Paramètres!$A$1:$I$89,3,0)*VLOOKUP('Données projet'!$B$13,Paramètres!$A$1:$I$89,5,0)</f>
        <v>3.813056537183002E-14</v>
      </c>
      <c r="CV95" s="13">
        <f t="shared" si="95"/>
        <v>6.4086286045526829E-13</v>
      </c>
      <c r="CW95" s="20">
        <f t="shared" si="67"/>
        <v>1.1825802166488628E-12</v>
      </c>
      <c r="CX95" s="59">
        <f t="shared" si="68"/>
        <v>293.33333333333451</v>
      </c>
      <c r="CY95" s="59">
        <f ca="1">AVERAGE(OFFSET($CX$3,0,0,'Données projet'!$E$13+1,1))-AVERAGE(OFFSET($H$3,0,0,'Données projet'!$E$13+1,1))</f>
        <v>156.63226020379989</v>
      </c>
      <c r="CZ95" s="59">
        <f t="shared" si="96"/>
        <v>196.0481096619543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1.5540419293187826</v>
      </c>
      <c r="DH95" s="21">
        <f>EXP(-LN(2)/2)*DH94+(1-EXP(-LN(2)/2))/(LN(2)/2)*DB95*DE95*VLOOKUP('Données projet'!$B$13,Paramètres!$A$1:$I$89,3,0)*0.475*44/12</f>
        <v>4.2251640940675715E-9</v>
      </c>
      <c r="DI95" s="22">
        <f t="shared" si="69"/>
        <v>1.5540419335439466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-8.5265128291212022E-14</v>
      </c>
      <c r="DP95" s="17">
        <f>DO95*VLOOKUP('Données projet'!$B$14,Paramètres!$A$1:$I$89,3,0)*VLOOKUP('Données projet'!$B$14,Paramètres!$A$1:$I$89,5,0)</f>
        <v>-7.7147888077888636E-14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225.28075317732998</v>
      </c>
      <c r="DU95" s="59">
        <f t="shared" si="98"/>
        <v>358.43407531256207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0.65716980554938764</v>
      </c>
      <c r="EB95" s="21">
        <f>EXP(-LN(2)/25)*EB94+(1-EXP(-LN(2)/25))/(LN(2)/25)*Calculateur!DW95*Calculateur!DY95*VLOOKUP('Données projet'!$B$14,Paramètres!$A$1:$I$89,3,0)*0.475*44/12</f>
        <v>1.4827198860322728</v>
      </c>
      <c r="EC95" s="21">
        <f>EXP(-LN(2)/2)*EC94+(1-EXP(-LN(2)/2))/(LN(2)/2)*DW95*DZ95*VLOOKUP('Données projet'!$B$14,Paramètres!$A$1:$I$89,3,0)*0.475*44/12</f>
        <v>2.0554387546002509E-9</v>
      </c>
      <c r="ED95" s="22">
        <f t="shared" si="72"/>
        <v>2.1398896936370995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-5.6843418860808015E-13</v>
      </c>
      <c r="EK95" s="17">
        <f>EJ95*VLOOKUP('Données projet'!$B$15,Paramètres!$A$1:$I$89,3,0)*VLOOKUP('Données projet'!$B$15,Paramètres!$A$1:$I$89,5,0)</f>
        <v>-3.177547114319168E-13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326.31232746914907</v>
      </c>
      <c r="EP95" s="59">
        <f t="shared" si="100"/>
        <v>330.17137761430297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1.3380358243391006</v>
      </c>
      <c r="EW95" s="21">
        <f>EXP(-LN(2)/25)*EW94+(1-EXP(-LN(2)/25))/(LN(2)/25)*Calculateur!ER95*Calculateur!ET95*VLOOKUP('Données projet'!$B$15,Paramètres!$A$1:$I$89,3,0)*0.475*44/12</f>
        <v>5.4083321897221079</v>
      </c>
      <c r="EX95" s="21">
        <f>EXP(-LN(2)/2)*EX94+(1-EXP(-LN(2)/2))/(LN(2)/2)*ER95*EU95*VLOOKUP('Données projet'!$B$15,Paramètres!$A$1:$I$89,3,0)*0.475*44/12</f>
        <v>1.5144277536512931E-8</v>
      </c>
      <c r="EY95" s="22">
        <f t="shared" si="75"/>
        <v>6.7463680292054864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255.41017495879987</v>
      </c>
      <c r="FK95" s="59">
        <f t="shared" si="102"/>
        <v>297.50513563712764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2.4441077214143392</v>
      </c>
      <c r="FR95" s="21">
        <f>EXP(-LN(2)/25)*FR94+(1-EXP(-LN(2)/25))/(LN(2)/25)*Calculateur!FM95*Calculateur!FO95*VLOOKUP('Données projet'!$B$16,Paramètres!$A$1:$I$89,3,0)*0.475*44/12</f>
        <v>4.9955178830074711</v>
      </c>
      <c r="FS95" s="21">
        <f>EXP(-LN(2)/2)*FS94+(1-EXP(-LN(2)/2))/(LN(2)/2)*FM95*FP95*VLOOKUP('Données projet'!$B$16,Paramètres!$A$1:$I$89,3,0)*0.475*44/12</f>
        <v>1.1362690076656584E-8</v>
      </c>
      <c r="FT95" s="22">
        <f t="shared" si="78"/>
        <v>7.4396256157845002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1.1368683772161603E-13</v>
      </c>
      <c r="GA95" s="17">
        <f>FZ95*VLOOKUP('Données projet'!$B$17,Paramètres!$A$1:$I$89,3,0)*VLOOKUP('Données projet'!$B$17,Paramètres!$A$1:$I$89,5,0)</f>
        <v>6.7984728957526396E-14</v>
      </c>
      <c r="GB95" s="13">
        <f t="shared" si="103"/>
        <v>1.0682447123141398E-12</v>
      </c>
      <c r="GC95" s="20">
        <f t="shared" si="79"/>
        <v>1.978932943548152E-12</v>
      </c>
      <c r="GD95" s="59">
        <f t="shared" si="80"/>
        <v>293.3333333333353</v>
      </c>
      <c r="GE95" s="59">
        <f ca="1">AVERAGE(OFFSET($GD$3,0,0,'Données projet'!$E$17+1,1))-AVERAGE(OFFSET($H$3,0,0,'Données projet'!$E$17+1,1))</f>
        <v>259.30247982593914</v>
      </c>
      <c r="GF95" s="59">
        <f t="shared" si="104"/>
        <v>275.24740346220779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</v>
      </c>
      <c r="GM95" s="21">
        <f>EXP(-LN(2)/25)*GM94+(1-EXP(-LN(2)/25))/(LN(2)/25)*Calculateur!GH95*Calculateur!GJ95*VLOOKUP('Données projet'!$B$17,Paramètres!$A$1:$I$89,3,0)*0.475*44/12</f>
        <v>3.2323167093463927</v>
      </c>
      <c r="GN95" s="21">
        <f>EXP(-LN(2)/2)*GN94+(1-EXP(-LN(2)/2))/(LN(2)/2)*GH95*GK95*VLOOKUP('Données projet'!$B$17,Paramètres!$A$1:$I$89,3,0)*0.475*44/12</f>
        <v>1.3355384665478504E-8</v>
      </c>
      <c r="GO95" s="21">
        <f t="shared" si="81"/>
        <v>3.2323167227017775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5.6843418860808015E-14</v>
      </c>
      <c r="GV95" s="17">
        <f>GU95*VLOOKUP('Données projet'!$B$18,Paramètres!$A$1:$I$89,3,0)*VLOOKUP('Données projet'!$B$18,Paramètres!$A$1:$I$89,5,0)</f>
        <v>4.5224624045658861E-14</v>
      </c>
      <c r="GW95" s="13">
        <f t="shared" si="105"/>
        <v>7.4514601661523691E-13</v>
      </c>
      <c r="GX95" s="20">
        <f t="shared" si="82"/>
        <v>1.3765621991510601E-12</v>
      </c>
      <c r="GY95" s="59">
        <f t="shared" si="83"/>
        <v>293.33333333333468</v>
      </c>
      <c r="GZ95" s="59">
        <f ca="1">AVERAGE(OFFSET($GY$3,0,0,'Données projet'!$E$18+1,1))-AVERAGE(OFFSET($H$3,0,0,'Données projet'!$E$18+1,1))</f>
        <v>199.58763537752952</v>
      </c>
      <c r="HA95" s="59">
        <f t="shared" si="106"/>
        <v>242.62852778451929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0</v>
      </c>
      <c r="HH95" s="21">
        <f>EXP(-LN(2)/25)*HH94+(1-EXP(-LN(2)/25))/(LN(2)/25)*Calculateur!HC95*Calculateur!HE95*VLOOKUP('Données projet'!$B$18,Paramètres!$A$1:$I$89,3,0)*0.475*44/12</f>
        <v>1.8431660091920434</v>
      </c>
      <c r="HI95" s="21">
        <f>EXP(-LN(2)/2)*HI94+(1-EXP(-LN(2)/2))/(LN(2)/2)*HC95*HF95*VLOOKUP('Données projet'!$B$18,Paramètres!$A$1:$I$89,3,0)*0.475*44/12</f>
        <v>5.0112411348243337E-9</v>
      </c>
      <c r="HJ95" s="22">
        <f t="shared" si="84"/>
        <v>1.8431660142032846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268.70000000000039</v>
      </c>
      <c r="O96" s="13">
        <f>N96*VLOOKUP('Données projet'!$B$9,Paramètres!$A$1:$I$89,3,0)*VLOOKUP('Données projet'!$B$9,Paramètres!$A$1:$I$89,5,0)</f>
        <v>243.11976000000033</v>
      </c>
      <c r="P96" s="13">
        <f t="shared" si="87"/>
        <v>59.110256668778582</v>
      </c>
      <c r="Q96" s="20">
        <f t="shared" si="54"/>
        <v>526.38394569812317</v>
      </c>
      <c r="R96" s="59">
        <f t="shared" si="55"/>
        <v>819.71727903145643</v>
      </c>
      <c r="S96" s="59">
        <f ca="1">AVERAGE(OFFSET($R$3,0,0,'Données projet'!$E$9+1,1))-AVERAGE(OFFSET($H$3,0,0,'Données projet'!$E$9+1,1))</f>
        <v>237.22177246688199</v>
      </c>
      <c r="T96" s="59">
        <f t="shared" si="88"/>
        <v>149.27472147904302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0.54149844926953228</v>
      </c>
      <c r="AB96" s="21">
        <f>EXP(-LN(2)/2)*AB95+(1-EXP(-LN(2)/2))/(LN(2)/2)*V96*Y96*VLOOKUP('Données projet'!$B$9,Paramètres!$A$1:$I$89,3,0)*0.475*44/12</f>
        <v>2.0379805187642338E-9</v>
      </c>
      <c r="AC96" s="22">
        <f t="shared" si="57"/>
        <v>0.54149845130751284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268.70000000000039</v>
      </c>
      <c r="AJ96" s="13">
        <f>AI96*VLOOKUP('Données projet'!$B$10,Paramètres!$A$1:$I$89,3,0)*VLOOKUP('Données projet'!$B$10,Paramètres!$A$1:$I$89,5,0)</f>
        <v>272.46180000000044</v>
      </c>
      <c r="AK96" s="13">
        <f t="shared" si="89"/>
        <v>65.371449071922058</v>
      </c>
      <c r="AL96" s="20">
        <f t="shared" si="58"/>
        <v>588.39290880026499</v>
      </c>
      <c r="AM96" s="59">
        <f t="shared" si="59"/>
        <v>881.72624213359836</v>
      </c>
      <c r="AN96" s="59">
        <f ca="1">AVERAGE(OFFSET($AM$3,0,0,'Données projet'!$E$10+1,1))-AVERAGE(OFFSET($H$3,0,0,'Données projet'!$E$10+1,1))</f>
        <v>279.20364724206644</v>
      </c>
      <c r="AO96" s="59">
        <f t="shared" si="90"/>
        <v>173.99850582760712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0.60685171038826868</v>
      </c>
      <c r="AW96" s="21">
        <f>EXP(-LN(2)/2)*AW95+(1-EXP(-LN(2)/2))/(LN(2)/2)*AQ96*AT96*VLOOKUP('Données projet'!$B$10,Paramètres!$A$1:$I$89,3,0)*0.475*44/12</f>
        <v>2.2839436848219858E-9</v>
      </c>
      <c r="AX96" s="21">
        <f t="shared" si="60"/>
        <v>0.60685171267221238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18.5</v>
      </c>
      <c r="BD96" s="12">
        <f>IF('Données projet'!$A$88&gt;35,BD95+BC96-BL95,IF(A96&lt;'Données projet'!$A$88,$BA$205^A96,IF(A96='Données projet'!$A$88,'Données projet'!$B$88,BD95+BC96-BL95)))</f>
        <v>596.69999999999993</v>
      </c>
      <c r="BE96" s="13">
        <f>BD96*VLOOKUP('Données projet'!$B$11,Paramètres!$A$1:$I$89,3,0)*VLOOKUP('Données projet'!$B$11,Paramètres!$A$1:$I$89,5,0)</f>
        <v>279.25559999999996</v>
      </c>
      <c r="BF96" s="13">
        <f t="shared" si="91"/>
        <v>66.809671397146161</v>
      </c>
      <c r="BG96" s="20">
        <f t="shared" si="61"/>
        <v>602.73034768336277</v>
      </c>
      <c r="BH96" s="59">
        <f t="shared" si="62"/>
        <v>896.06368101669614</v>
      </c>
      <c r="BI96" s="59">
        <f ca="1">AVERAGE(OFFSET($BH$3,0,0,'Données projet'!$E$11+1,1))-AVERAGE(OFFSET($H$3,0,0,'Données projet'!$E$11+1,1))</f>
        <v>215.23235148064941</v>
      </c>
      <c r="BJ96" s="59">
        <f t="shared" si="92"/>
        <v>184.07239726900434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0.90017218240383978</v>
      </c>
      <c r="BQ96" s="21">
        <f>EXP(-LN(2)/25)*BQ95+(1-EXP(-LN(2)/25))/(LN(2)/25)*Calculateur!BL96*Calculateur!BN96*VLOOKUP('Données projet'!$B$11,Paramètres!$A$1:$I$89,3,0)*0.475*44/12</f>
        <v>1.369544894246679</v>
      </c>
      <c r="BR96" s="21">
        <f>EXP(-LN(2)/2)*BR95+(1-EXP(-LN(2)/2))/(LN(2)/2)*BL96*BO96*VLOOKUP('Données projet'!$B$11,Paramètres!$A$1:$I$89,3,0)*0.475*44/12</f>
        <v>3.2374629113078942E-9</v>
      </c>
      <c r="BS96" s="22">
        <f t="shared" si="63"/>
        <v>2.2697170798879815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4.9000000000000004</v>
      </c>
      <c r="BY96" s="12">
        <f>IF('Données projet'!$A$114&gt;35,BY95+BX96-CG95,IF(A96&lt;'Données projet'!$A$114,$BV$205^A96,IF(A96='Données projet'!$A$114,'Données projet'!$B$114,BY95+BX96-CG95)))</f>
        <v>268.70000000000039</v>
      </c>
      <c r="BZ96" s="13">
        <f>BY96*VLOOKUP('Données projet'!$B$12,Paramètres!$A$1:$I$89,3,0)*VLOOKUP('Données projet'!$B$12,Paramètres!$A$1:$I$89,5,0)</f>
        <v>289.2286800000004</v>
      </c>
      <c r="CA96" s="13">
        <f t="shared" si="93"/>
        <v>68.913598231221059</v>
      </c>
      <c r="CB96" s="20">
        <f t="shared" si="64"/>
        <v>623.76446791937724</v>
      </c>
      <c r="CC96" s="59">
        <f t="shared" si="65"/>
        <v>917.0978012527105</v>
      </c>
      <c r="CD96" s="59">
        <f ca="1">AVERAGE(OFFSET($CC$3,0,0,'Données projet'!$E$12+1,1))-AVERAGE(OFFSET($H$3,0,0,'Données projet'!$E$12+1,1))</f>
        <v>303.1504619632214</v>
      </c>
      <c r="CE96" s="59">
        <f t="shared" si="94"/>
        <v>188.09929616366503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0.64419643102754698</v>
      </c>
      <c r="CM96" s="21">
        <f>EXP(-LN(2)/2)*CM95+(1-EXP(-LN(2)/2))/(LN(2)/2)*CG96*CJ96*VLOOKUP('Données projet'!$B$12,Paramètres!$A$1:$I$89,3,0)*0.475*44/12</f>
        <v>2.4244940654264203E-9</v>
      </c>
      <c r="CN96" s="22">
        <f t="shared" si="66"/>
        <v>0.64419643345204103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5.6843418860808015E-14</v>
      </c>
      <c r="CU96" s="17">
        <f>CT96*VLOOKUP('Données projet'!$B$13,Paramètres!$A$1:$I$89,3,0)*VLOOKUP('Données projet'!$B$13,Paramètres!$A$1:$I$89,5,0)</f>
        <v>3.813056537183002E-14</v>
      </c>
      <c r="CV96" s="13">
        <f t="shared" si="95"/>
        <v>6.4086286045526829E-13</v>
      </c>
      <c r="CW96" s="20">
        <f t="shared" si="67"/>
        <v>1.1825802166488628E-12</v>
      </c>
      <c r="CX96" s="59">
        <f t="shared" si="68"/>
        <v>293.33333333333451</v>
      </c>
      <c r="CY96" s="59">
        <f ca="1">AVERAGE(OFFSET($CX$3,0,0,'Données projet'!$E$13+1,1))-AVERAGE(OFFSET($H$3,0,0,'Données projet'!$E$13+1,1))</f>
        <v>156.63226020379989</v>
      </c>
      <c r="CZ96" s="59">
        <f t="shared" si="96"/>
        <v>196.0481096619543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1.5115465710380473</v>
      </c>
      <c r="DH96" s="21">
        <f>EXP(-LN(2)/2)*DH95+(1-EXP(-LN(2)/2))/(LN(2)/2)*DB96*DE96*VLOOKUP('Données projet'!$B$13,Paramètres!$A$1:$I$89,3,0)*0.475*44/12</f>
        <v>2.9876421825410956E-9</v>
      </c>
      <c r="DI96" s="22">
        <f t="shared" si="69"/>
        <v>1.5115465740256895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-8.5265128291212022E-14</v>
      </c>
      <c r="DP96" s="17">
        <f>DO96*VLOOKUP('Données projet'!$B$14,Paramètres!$A$1:$I$89,3,0)*VLOOKUP('Données projet'!$B$14,Paramètres!$A$1:$I$89,5,0)</f>
        <v>-7.7147888077888636E-14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225.28075317732998</v>
      </c>
      <c r="DU96" s="59">
        <f t="shared" si="98"/>
        <v>358.43407531256207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0.6442831064965665</v>
      </c>
      <c r="EB96" s="21">
        <f>EXP(-LN(2)/25)*EB95+(1-EXP(-LN(2)/25))/(LN(2)/25)*Calculateur!DW96*Calculateur!DY96*VLOOKUP('Données projet'!$B$14,Paramètres!$A$1:$I$89,3,0)*0.475*44/12</f>
        <v>1.4421748327758703</v>
      </c>
      <c r="EC96" s="21">
        <f>EXP(-LN(2)/2)*EC95+(1-EXP(-LN(2)/2))/(LN(2)/2)*DW96*DZ96*VLOOKUP('Données projet'!$B$14,Paramètres!$A$1:$I$89,3,0)*0.475*44/12</f>
        <v>1.4534146816914694E-9</v>
      </c>
      <c r="ED96" s="22">
        <f t="shared" si="72"/>
        <v>2.0864579407258517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-5.6843418860808015E-13</v>
      </c>
      <c r="EK96" s="17">
        <f>EJ96*VLOOKUP('Données projet'!$B$15,Paramètres!$A$1:$I$89,3,0)*VLOOKUP('Données projet'!$B$15,Paramètres!$A$1:$I$89,5,0)</f>
        <v>-3.177547114319168E-13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326.31232746914907</v>
      </c>
      <c r="EP96" s="59">
        <f t="shared" si="100"/>
        <v>330.17137761430297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1.3117977579450784</v>
      </c>
      <c r="EW96" s="21">
        <f>EXP(-LN(2)/25)*EW95+(1-EXP(-LN(2)/25))/(LN(2)/25)*Calculateur!ER96*Calculateur!ET96*VLOOKUP('Données projet'!$B$15,Paramètres!$A$1:$I$89,3,0)*0.475*44/12</f>
        <v>5.2604410615823278</v>
      </c>
      <c r="EX96" s="21">
        <f>EXP(-LN(2)/2)*EX95+(1-EXP(-LN(2)/2))/(LN(2)/2)*ER96*EU96*VLOOKUP('Données projet'!$B$15,Paramètres!$A$1:$I$89,3,0)*0.475*44/12</f>
        <v>1.0708621342239396E-8</v>
      </c>
      <c r="EY96" s="22">
        <f t="shared" si="75"/>
        <v>6.572238830236028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255.41017495879987</v>
      </c>
      <c r="FK96" s="59">
        <f t="shared" si="102"/>
        <v>297.50513563712764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2.3961802597559139</v>
      </c>
      <c r="FR96" s="21">
        <f>EXP(-LN(2)/25)*FR95+(1-EXP(-LN(2)/25))/(LN(2)/25)*Calculateur!FM96*Calculateur!FO96*VLOOKUP('Données projet'!$B$16,Paramètres!$A$1:$I$89,3,0)*0.475*44/12</f>
        <v>4.8589151837937639</v>
      </c>
      <c r="FS96" s="21">
        <f>EXP(-LN(2)/2)*FS95+(1-EXP(-LN(2)/2))/(LN(2)/2)*FM96*FP96*VLOOKUP('Données projet'!$B$16,Paramètres!$A$1:$I$89,3,0)*0.475*44/12</f>
        <v>8.0346352057249617E-9</v>
      </c>
      <c r="FT96" s="22">
        <f t="shared" si="78"/>
        <v>7.2550954515843129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1.1368683772161603E-13</v>
      </c>
      <c r="GA96" s="17">
        <f>FZ96*VLOOKUP('Données projet'!$B$17,Paramètres!$A$1:$I$89,3,0)*VLOOKUP('Données projet'!$B$17,Paramètres!$A$1:$I$89,5,0)</f>
        <v>6.7984728957526396E-14</v>
      </c>
      <c r="GB96" s="13">
        <f t="shared" si="103"/>
        <v>1.0682447123141398E-12</v>
      </c>
      <c r="GC96" s="20">
        <f t="shared" si="79"/>
        <v>1.978932943548152E-12</v>
      </c>
      <c r="GD96" s="59">
        <f t="shared" si="80"/>
        <v>293.3333333333353</v>
      </c>
      <c r="GE96" s="59">
        <f ca="1">AVERAGE(OFFSET($GD$3,0,0,'Données projet'!$E$17+1,1))-AVERAGE(OFFSET($H$3,0,0,'Données projet'!$E$17+1,1))</f>
        <v>259.30247982593914</v>
      </c>
      <c r="GF96" s="59">
        <f t="shared" si="104"/>
        <v>275.24740346220779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</v>
      </c>
      <c r="GM96" s="21">
        <f>EXP(-LN(2)/25)*GM95+(1-EXP(-LN(2)/25))/(LN(2)/25)*Calculateur!GH96*Calculateur!GJ96*VLOOKUP('Données projet'!$B$17,Paramètres!$A$1:$I$89,3,0)*0.475*44/12</f>
        <v>3.1439288389491673</v>
      </c>
      <c r="GN96" s="21">
        <f>EXP(-LN(2)/2)*GN95+(1-EXP(-LN(2)/2))/(LN(2)/2)*GH96*GK96*VLOOKUP('Données projet'!$B$17,Paramètres!$A$1:$I$89,3,0)*0.475*44/12</f>
        <v>9.4436830623146803E-9</v>
      </c>
      <c r="GO96" s="21">
        <f t="shared" si="81"/>
        <v>3.1439288483928505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5.6843418860808015E-14</v>
      </c>
      <c r="GV96" s="17">
        <f>GU96*VLOOKUP('Données projet'!$B$18,Paramètres!$A$1:$I$89,3,0)*VLOOKUP('Données projet'!$B$18,Paramètres!$A$1:$I$89,5,0)</f>
        <v>4.5224624045658861E-14</v>
      </c>
      <c r="GW96" s="13">
        <f t="shared" si="105"/>
        <v>7.4514601661523691E-13</v>
      </c>
      <c r="GX96" s="20">
        <f t="shared" si="82"/>
        <v>1.3765621991510601E-12</v>
      </c>
      <c r="GY96" s="59">
        <f t="shared" si="83"/>
        <v>293.33333333333468</v>
      </c>
      <c r="GZ96" s="59">
        <f ca="1">AVERAGE(OFFSET($GY$3,0,0,'Données projet'!$E$18+1,1))-AVERAGE(OFFSET($H$3,0,0,'Données projet'!$E$18+1,1))</f>
        <v>199.58763537752952</v>
      </c>
      <c r="HA96" s="59">
        <f t="shared" si="106"/>
        <v>242.62852778451929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0</v>
      </c>
      <c r="HH96" s="21">
        <f>EXP(-LN(2)/25)*HH95+(1-EXP(-LN(2)/25))/(LN(2)/25)*Calculateur!HC96*Calculateur!HE96*VLOOKUP('Données projet'!$B$18,Paramètres!$A$1:$I$89,3,0)*0.475*44/12</f>
        <v>1.7927645377427992</v>
      </c>
      <c r="HI96" s="21">
        <f>EXP(-LN(2)/2)*HI95+(1-EXP(-LN(2)/2))/(LN(2)/2)*HC96*HF96*VLOOKUP('Données projet'!$B$18,Paramètres!$A$1:$I$89,3,0)*0.475*44/12</f>
        <v>3.5434825885952562E-9</v>
      </c>
      <c r="HJ96" s="22">
        <f t="shared" si="84"/>
        <v>1.7927645412862818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273.60000000000036</v>
      </c>
      <c r="O97" s="13">
        <f>N97*VLOOKUP('Données projet'!$B$9,Paramètres!$A$1:$I$89,3,0)*VLOOKUP('Données projet'!$B$9,Paramètres!$A$1:$I$89,5,0)</f>
        <v>247.55328000000031</v>
      </c>
      <c r="P97" s="13">
        <f t="shared" si="87"/>
        <v>60.061713068870304</v>
      </c>
      <c r="Q97" s="20">
        <f t="shared" si="54"/>
        <v>535.76277959494962</v>
      </c>
      <c r="R97" s="59">
        <f t="shared" si="55"/>
        <v>829.09611292828299</v>
      </c>
      <c r="S97" s="59">
        <f ca="1">AVERAGE(OFFSET($R$3,0,0,'Données projet'!$E$9+1,1))-AVERAGE(OFFSET($H$3,0,0,'Données projet'!$E$9+1,1))</f>
        <v>237.22177246688199</v>
      </c>
      <c r="T97" s="59">
        <f t="shared" si="88"/>
        <v>149.27472147904302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0.52669114569809106</v>
      </c>
      <c r="AB97" s="21">
        <f>EXP(-LN(2)/2)*AB96+(1-EXP(-LN(2)/2))/(LN(2)/2)*V97*Y97*VLOOKUP('Données projet'!$B$9,Paramètres!$A$1:$I$89,3,0)*0.475*44/12</f>
        <v>1.4410698447442677E-9</v>
      </c>
      <c r="AC97" s="22">
        <f t="shared" si="57"/>
        <v>0.52669114713916088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273.60000000000036</v>
      </c>
      <c r="AJ97" s="13">
        <f>AI97*VLOOKUP('Données projet'!$B$10,Paramètres!$A$1:$I$89,3,0)*VLOOKUP('Données projet'!$B$10,Paramètres!$A$1:$I$89,5,0)</f>
        <v>277.43040000000036</v>
      </c>
      <c r="AK97" s="13">
        <f t="shared" si="89"/>
        <v>66.423687500715801</v>
      </c>
      <c r="AL97" s="20">
        <f t="shared" si="58"/>
        <v>598.87920239708058</v>
      </c>
      <c r="AM97" s="59">
        <f t="shared" si="59"/>
        <v>892.21253573041395</v>
      </c>
      <c r="AN97" s="59">
        <f ca="1">AVERAGE(OFFSET($AM$3,0,0,'Données projet'!$E$10+1,1))-AVERAGE(OFFSET($H$3,0,0,'Données projet'!$E$10+1,1))</f>
        <v>279.20364724206644</v>
      </c>
      <c r="AO97" s="59">
        <f t="shared" si="90"/>
        <v>173.99850582760712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0.59025731845475704</v>
      </c>
      <c r="AW97" s="21">
        <f>EXP(-LN(2)/2)*AW96+(1-EXP(-LN(2)/2))/(LN(2)/2)*AQ97*AT97*VLOOKUP('Données projet'!$B$10,Paramètres!$A$1:$I$89,3,0)*0.475*44/12</f>
        <v>1.614992067385817E-9</v>
      </c>
      <c r="AX97" s="21">
        <f t="shared" si="60"/>
        <v>0.59025732006974907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18.5</v>
      </c>
      <c r="BD97" s="12">
        <f>IF('Données projet'!$A$88&gt;35,BD96+BC97-BL96,IF(A97&lt;'Données projet'!$A$88,$BA$205^A97,IF(A97='Données projet'!$A$88,'Données projet'!$B$88,BD96+BC97-BL96)))</f>
        <v>615.19999999999993</v>
      </c>
      <c r="BE97" s="13">
        <f>BD97*VLOOKUP('Données projet'!$B$11,Paramètres!$A$1:$I$89,3,0)*VLOOKUP('Données projet'!$B$11,Paramètres!$A$1:$I$89,5,0)</f>
        <v>287.91359999999997</v>
      </c>
      <c r="BF97" s="13">
        <f t="shared" si="91"/>
        <v>68.636657677063752</v>
      </c>
      <c r="BG97" s="20">
        <f t="shared" si="61"/>
        <v>620.99169878755254</v>
      </c>
      <c r="BH97" s="59">
        <f t="shared" si="62"/>
        <v>914.32503212088591</v>
      </c>
      <c r="BI97" s="59">
        <f ca="1">AVERAGE(OFFSET($BH$3,0,0,'Données projet'!$E$11+1,1))-AVERAGE(OFFSET($H$3,0,0,'Données projet'!$E$11+1,1))</f>
        <v>215.23235148064941</v>
      </c>
      <c r="BJ97" s="59">
        <f t="shared" si="92"/>
        <v>184.07239726900434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0.88252035495771752</v>
      </c>
      <c r="BQ97" s="21">
        <f>EXP(-LN(2)/25)*BQ96+(1-EXP(-LN(2)/25))/(LN(2)/25)*Calculateur!BL97*Calculateur!BN97*VLOOKUP('Données projet'!$B$11,Paramètres!$A$1:$I$89,3,0)*0.475*44/12</f>
        <v>1.3320946170922678</v>
      </c>
      <c r="BR97" s="21">
        <f>EXP(-LN(2)/2)*BR96+(1-EXP(-LN(2)/2))/(LN(2)/2)*BL97*BO97*VLOOKUP('Données projet'!$B$11,Paramètres!$A$1:$I$89,3,0)*0.475*44/12</f>
        <v>2.2892319784257542E-9</v>
      </c>
      <c r="BS97" s="22">
        <f t="shared" si="63"/>
        <v>2.2146149743392174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4.9000000000000004</v>
      </c>
      <c r="BY97" s="12">
        <f>IF('Données projet'!$A$114&gt;35,BY96+BX97-CG96,IF(A97&lt;'Données projet'!$A$114,$BV$205^A97,IF(A97='Données projet'!$A$114,'Données projet'!$B$114,BY96+BX97-CG96)))</f>
        <v>273.60000000000036</v>
      </c>
      <c r="BZ97" s="13">
        <f>BY97*VLOOKUP('Données projet'!$B$12,Paramètres!$A$1:$I$89,3,0)*VLOOKUP('Données projet'!$B$12,Paramètres!$A$1:$I$89,5,0)</f>
        <v>294.5030400000004</v>
      </c>
      <c r="CA97" s="13">
        <f t="shared" si="93"/>
        <v>70.022852154069838</v>
      </c>
      <c r="CB97" s="20">
        <f t="shared" si="64"/>
        <v>634.8825955016722</v>
      </c>
      <c r="CC97" s="59">
        <f t="shared" si="65"/>
        <v>928.21592883500557</v>
      </c>
      <c r="CD97" s="59">
        <f ca="1">AVERAGE(OFFSET($CC$3,0,0,'Données projet'!$E$12+1,1))-AVERAGE(OFFSET($H$3,0,0,'Données projet'!$E$12+1,1))</f>
        <v>303.1504619632214</v>
      </c>
      <c r="CE97" s="59">
        <f t="shared" si="94"/>
        <v>188.09929616366503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0.62658084574428075</v>
      </c>
      <c r="CM97" s="21">
        <f>EXP(-LN(2)/2)*CM96+(1-EXP(-LN(2)/2))/(LN(2)/2)*CG97*CJ97*VLOOKUP('Données projet'!$B$12,Paramètres!$A$1:$I$89,3,0)*0.475*44/12</f>
        <v>1.7143761946095628E-9</v>
      </c>
      <c r="CN97" s="22">
        <f t="shared" si="66"/>
        <v>0.62658084745865694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5.6843418860808015E-14</v>
      </c>
      <c r="CU97" s="17">
        <f>CT97*VLOOKUP('Données projet'!$B$13,Paramètres!$A$1:$I$89,3,0)*VLOOKUP('Données projet'!$B$13,Paramètres!$A$1:$I$89,5,0)</f>
        <v>3.813056537183002E-14</v>
      </c>
      <c r="CV97" s="13">
        <f t="shared" si="95"/>
        <v>6.4086286045526829E-13</v>
      </c>
      <c r="CW97" s="20">
        <f t="shared" si="67"/>
        <v>1.1825802166488628E-12</v>
      </c>
      <c r="CX97" s="59">
        <f t="shared" si="68"/>
        <v>293.33333333333451</v>
      </c>
      <c r="CY97" s="59">
        <f ca="1">AVERAGE(OFFSET($CX$3,0,0,'Données projet'!$E$13+1,1))-AVERAGE(OFFSET($H$3,0,0,'Données projet'!$E$13+1,1))</f>
        <v>156.63226020379989</v>
      </c>
      <c r="CZ97" s="59">
        <f t="shared" si="96"/>
        <v>196.0481096619543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1.4702132505642325</v>
      </c>
      <c r="DH97" s="21">
        <f>EXP(-LN(2)/2)*DH96+(1-EXP(-LN(2)/2))/(LN(2)/2)*DB97*DE97*VLOOKUP('Données projet'!$B$13,Paramètres!$A$1:$I$89,3,0)*0.475*44/12</f>
        <v>2.1125820470337857E-9</v>
      </c>
      <c r="DI97" s="22">
        <f t="shared" si="69"/>
        <v>1.4702132526768146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-8.5265128291212022E-14</v>
      </c>
      <c r="DP97" s="17">
        <f>DO97*VLOOKUP('Données projet'!$B$14,Paramètres!$A$1:$I$89,3,0)*VLOOKUP('Données projet'!$B$14,Paramètres!$A$1:$I$89,5,0)</f>
        <v>-7.7147888077888636E-14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225.28075317732998</v>
      </c>
      <c r="DU97" s="59">
        <f t="shared" si="98"/>
        <v>358.43407531256207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0.63164910775206085</v>
      </c>
      <c r="EB97" s="21">
        <f>EXP(-LN(2)/25)*EB96+(1-EXP(-LN(2)/25))/(LN(2)/25)*Calculateur!DW97*Calculateur!DY97*VLOOKUP('Données projet'!$B$14,Paramètres!$A$1:$I$89,3,0)*0.475*44/12</f>
        <v>1.4027384861329357</v>
      </c>
      <c r="EC97" s="21">
        <f>EXP(-LN(2)/2)*EC96+(1-EXP(-LN(2)/2))/(LN(2)/2)*DW97*DZ97*VLOOKUP('Données projet'!$B$14,Paramètres!$A$1:$I$89,3,0)*0.475*44/12</f>
        <v>1.0277193773001255E-9</v>
      </c>
      <c r="ED97" s="22">
        <f t="shared" si="72"/>
        <v>2.0343875949127157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-5.6843418860808015E-13</v>
      </c>
      <c r="EK97" s="17">
        <f>EJ97*VLOOKUP('Données projet'!$B$15,Paramètres!$A$1:$I$89,3,0)*VLOOKUP('Données projet'!$B$15,Paramètres!$A$1:$I$89,5,0)</f>
        <v>-3.177547114319168E-13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326.31232746914907</v>
      </c>
      <c r="EP97" s="59">
        <f t="shared" si="100"/>
        <v>330.17137761430297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1.2860742040294026</v>
      </c>
      <c r="EW97" s="21">
        <f>EXP(-LN(2)/25)*EW96+(1-EXP(-LN(2)/25))/(LN(2)/25)*Calculateur!ER97*Calculateur!ET97*VLOOKUP('Données projet'!$B$15,Paramètres!$A$1:$I$89,3,0)*0.475*44/12</f>
        <v>5.1165940241187862</v>
      </c>
      <c r="EX97" s="21">
        <f>EXP(-LN(2)/2)*EX96+(1-EXP(-LN(2)/2))/(LN(2)/2)*ER97*EU97*VLOOKUP('Données projet'!$B$15,Paramètres!$A$1:$I$89,3,0)*0.475*44/12</f>
        <v>7.5721387682564654E-9</v>
      </c>
      <c r="EY97" s="22">
        <f t="shared" si="75"/>
        <v>6.4026682357203271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255.41017495879987</v>
      </c>
      <c r="FK97" s="59">
        <f t="shared" si="102"/>
        <v>297.50513563712764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2.3491926263877452</v>
      </c>
      <c r="FR97" s="21">
        <f>EXP(-LN(2)/25)*FR96+(1-EXP(-LN(2)/25))/(LN(2)/25)*Calculateur!FM97*Calculateur!FO97*VLOOKUP('Données projet'!$B$16,Paramètres!$A$1:$I$89,3,0)*0.475*44/12</f>
        <v>4.7260478925736793</v>
      </c>
      <c r="FS97" s="21">
        <f>EXP(-LN(2)/2)*FS96+(1-EXP(-LN(2)/2))/(LN(2)/2)*FM97*FP97*VLOOKUP('Données projet'!$B$16,Paramètres!$A$1:$I$89,3,0)*0.475*44/12</f>
        <v>5.6813450383282918E-9</v>
      </c>
      <c r="FT97" s="22">
        <f t="shared" si="78"/>
        <v>7.0752405246427692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1.1368683772161603E-13</v>
      </c>
      <c r="GA97" s="17">
        <f>FZ97*VLOOKUP('Données projet'!$B$17,Paramètres!$A$1:$I$89,3,0)*VLOOKUP('Données projet'!$B$17,Paramètres!$A$1:$I$89,5,0)</f>
        <v>6.7984728957526396E-14</v>
      </c>
      <c r="GB97" s="13">
        <f t="shared" si="103"/>
        <v>1.0682447123141398E-12</v>
      </c>
      <c r="GC97" s="20">
        <f t="shared" si="79"/>
        <v>1.978932943548152E-12</v>
      </c>
      <c r="GD97" s="59">
        <f t="shared" si="80"/>
        <v>293.3333333333353</v>
      </c>
      <c r="GE97" s="59">
        <f ca="1">AVERAGE(OFFSET($GD$3,0,0,'Données projet'!$E$17+1,1))-AVERAGE(OFFSET($H$3,0,0,'Données projet'!$E$17+1,1))</f>
        <v>259.30247982593914</v>
      </c>
      <c r="GF97" s="59">
        <f t="shared" si="104"/>
        <v>275.24740346220779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</v>
      </c>
      <c r="GM97" s="21">
        <f>EXP(-LN(2)/25)*GM96+(1-EXP(-LN(2)/25))/(LN(2)/25)*Calculateur!GH97*Calculateur!GJ97*VLOOKUP('Données projet'!$B$17,Paramètres!$A$1:$I$89,3,0)*0.475*44/12</f>
        <v>3.0579579395160703</v>
      </c>
      <c r="GN97" s="21">
        <f>EXP(-LN(2)/2)*GN96+(1-EXP(-LN(2)/2))/(LN(2)/2)*GH97*GK97*VLOOKUP('Données projet'!$B$17,Paramètres!$A$1:$I$89,3,0)*0.475*44/12</f>
        <v>6.6776923327392518E-9</v>
      </c>
      <c r="GO97" s="21">
        <f t="shared" si="81"/>
        <v>3.0579579461937625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5.6843418860808015E-14</v>
      </c>
      <c r="GV97" s="17">
        <f>GU97*VLOOKUP('Données projet'!$B$18,Paramètres!$A$1:$I$89,3,0)*VLOOKUP('Données projet'!$B$18,Paramètres!$A$1:$I$89,5,0)</f>
        <v>4.5224624045658861E-14</v>
      </c>
      <c r="GW97" s="13">
        <f t="shared" si="105"/>
        <v>7.4514601661523691E-13</v>
      </c>
      <c r="GX97" s="20">
        <f t="shared" si="82"/>
        <v>1.3765621991510601E-12</v>
      </c>
      <c r="GY97" s="59">
        <f t="shared" si="83"/>
        <v>293.33333333333468</v>
      </c>
      <c r="GZ97" s="59">
        <f ca="1">AVERAGE(OFFSET($GY$3,0,0,'Données projet'!$E$18+1,1))-AVERAGE(OFFSET($H$3,0,0,'Données projet'!$E$18+1,1))</f>
        <v>199.58763537752952</v>
      </c>
      <c r="HA97" s="59">
        <f t="shared" si="106"/>
        <v>242.62852778451929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0</v>
      </c>
      <c r="HH97" s="21">
        <f>EXP(-LN(2)/25)*HH96+(1-EXP(-LN(2)/25))/(LN(2)/25)*Calculateur!HC97*Calculateur!HE97*VLOOKUP('Données projet'!$B$18,Paramètres!$A$1:$I$89,3,0)*0.475*44/12</f>
        <v>1.7437412971808328</v>
      </c>
      <c r="HI97" s="21">
        <f>EXP(-LN(2)/2)*HI96+(1-EXP(-LN(2)/2))/(LN(2)/2)*HC97*HF97*VLOOKUP('Données projet'!$B$18,Paramètres!$A$1:$I$89,3,0)*0.475*44/12</f>
        <v>2.5056205674121668E-9</v>
      </c>
      <c r="HJ97" s="22">
        <f t="shared" si="84"/>
        <v>1.7437412996864534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278.50000000000034</v>
      </c>
      <c r="O98" s="13">
        <f>N98*VLOOKUP('Données projet'!$B$9,Paramètres!$A$1:$I$89,3,0)*VLOOKUP('Données projet'!$B$9,Paramètres!$A$1:$I$89,5,0)</f>
        <v>251.98680000000033</v>
      </c>
      <c r="P98" s="13">
        <f t="shared" si="87"/>
        <v>61.011187970195103</v>
      </c>
      <c r="Q98" s="20">
        <f t="shared" si="54"/>
        <v>545.13816238142374</v>
      </c>
      <c r="R98" s="59">
        <f t="shared" si="55"/>
        <v>838.47149571475711</v>
      </c>
      <c r="S98" s="59">
        <f ca="1">AVERAGE(OFFSET($R$3,0,0,'Données projet'!$E$9+1,1))-AVERAGE(OFFSET($H$3,0,0,'Données projet'!$E$9+1,1))</f>
        <v>237.22177246688199</v>
      </c>
      <c r="T98" s="59">
        <f t="shared" si="88"/>
        <v>149.27472147904302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0.51228874862149321</v>
      </c>
      <c r="AB98" s="21">
        <f>EXP(-LN(2)/2)*AB97+(1-EXP(-LN(2)/2))/(LN(2)/2)*V98*Y98*VLOOKUP('Données projet'!$B$9,Paramètres!$A$1:$I$89,3,0)*0.475*44/12</f>
        <v>1.0189902593821169E-9</v>
      </c>
      <c r="AC98" s="22">
        <f t="shared" si="57"/>
        <v>0.51228874964048343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278.50000000000034</v>
      </c>
      <c r="AJ98" s="13">
        <f>AI98*VLOOKUP('Données projet'!$B$10,Paramètres!$A$1:$I$89,3,0)*VLOOKUP('Données projet'!$B$10,Paramètres!$A$1:$I$89,5,0)</f>
        <v>282.3990000000004</v>
      </c>
      <c r="AK98" s="13">
        <f t="shared" si="89"/>
        <v>67.473734542548499</v>
      </c>
      <c r="AL98" s="20">
        <f t="shared" si="58"/>
        <v>609.36167932827254</v>
      </c>
      <c r="AM98" s="59">
        <f t="shared" si="59"/>
        <v>902.69501266160592</v>
      </c>
      <c r="AN98" s="59">
        <f ca="1">AVERAGE(OFFSET($AM$3,0,0,'Données projet'!$E$10+1,1))-AVERAGE(OFFSET($H$3,0,0,'Données projet'!$E$10+1,1))</f>
        <v>279.20364724206644</v>
      </c>
      <c r="AO98" s="59">
        <f t="shared" si="90"/>
        <v>173.99850582760712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0.57411670104132839</v>
      </c>
      <c r="AW98" s="21">
        <f>EXP(-LN(2)/2)*AW97+(1-EXP(-LN(2)/2))/(LN(2)/2)*AQ98*AT98*VLOOKUP('Données projet'!$B$10,Paramètres!$A$1:$I$89,3,0)*0.475*44/12</f>
        <v>1.1419718424109929E-9</v>
      </c>
      <c r="AX98" s="21">
        <f t="shared" si="60"/>
        <v>0.57411670218330024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18.5</v>
      </c>
      <c r="BD98" s="12">
        <f>IF('Données projet'!$A$88&gt;35,BD97+BC98-BL97,IF(A98&lt;'Données projet'!$A$88,$BA$205^A98,IF(A98='Données projet'!$A$88,'Données projet'!$B$88,BD97+BC98-BL97)))</f>
        <v>633.69999999999993</v>
      </c>
      <c r="BE98" s="13">
        <f>BD98*VLOOKUP('Données projet'!$B$11,Paramètres!$A$1:$I$89,3,0)*VLOOKUP('Données projet'!$B$11,Paramètres!$A$1:$I$89,5,0)</f>
        <v>296.57159999999999</v>
      </c>
      <c r="BF98" s="13">
        <f t="shared" si="91"/>
        <v>70.457259073622822</v>
      </c>
      <c r="BG98" s="20">
        <f t="shared" si="61"/>
        <v>639.24192955322633</v>
      </c>
      <c r="BH98" s="59">
        <f t="shared" si="62"/>
        <v>932.57526288655959</v>
      </c>
      <c r="BI98" s="59">
        <f ca="1">AVERAGE(OFFSET($BH$3,0,0,'Données projet'!$E$11+1,1))-AVERAGE(OFFSET($H$3,0,0,'Données projet'!$E$11+1,1))</f>
        <v>215.23235148064941</v>
      </c>
      <c r="BJ98" s="59">
        <f t="shared" si="92"/>
        <v>184.07239726900434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0.8652146690812621</v>
      </c>
      <c r="BQ98" s="21">
        <f>EXP(-LN(2)/25)*BQ97+(1-EXP(-LN(2)/25))/(LN(2)/25)*Calculateur!BL98*Calculateur!BN98*VLOOKUP('Données projet'!$B$11,Paramètres!$A$1:$I$89,3,0)*0.475*44/12</f>
        <v>1.2956684197360684</v>
      </c>
      <c r="BR98" s="21">
        <f>EXP(-LN(2)/2)*BR97+(1-EXP(-LN(2)/2))/(LN(2)/2)*BL98*BO98*VLOOKUP('Données projet'!$B$11,Paramètres!$A$1:$I$89,3,0)*0.475*44/12</f>
        <v>1.6187314556539471E-9</v>
      </c>
      <c r="BS98" s="22">
        <f t="shared" si="63"/>
        <v>2.1608830904360619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4.9000000000000004</v>
      </c>
      <c r="BY98" s="12">
        <f>IF('Données projet'!$A$114&gt;35,BY97+BX98-CG97,IF(A98&lt;'Données projet'!$A$114,$BV$205^A98,IF(A98='Données projet'!$A$114,'Données projet'!$B$114,BY97+BX98-CG97)))</f>
        <v>278.50000000000034</v>
      </c>
      <c r="BZ98" s="13">
        <f>BY98*VLOOKUP('Données projet'!$B$12,Paramètres!$A$1:$I$89,3,0)*VLOOKUP('Données projet'!$B$12,Paramètres!$A$1:$I$89,5,0)</f>
        <v>299.77740000000034</v>
      </c>
      <c r="CA98" s="13">
        <f t="shared" si="93"/>
        <v>71.129795949749308</v>
      </c>
      <c r="CB98" s="20">
        <f t="shared" si="64"/>
        <v>645.9966996124806</v>
      </c>
      <c r="CC98" s="59">
        <f t="shared" si="65"/>
        <v>939.33003294581385</v>
      </c>
      <c r="CD98" s="59">
        <f ca="1">AVERAGE(OFFSET($CC$3,0,0,'Données projet'!$E$12+1,1))-AVERAGE(OFFSET($H$3,0,0,'Données projet'!$E$12+1,1))</f>
        <v>303.1504619632214</v>
      </c>
      <c r="CE98" s="59">
        <f t="shared" si="94"/>
        <v>188.09929616366503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0.60944695956694883</v>
      </c>
      <c r="CM98" s="21">
        <f>EXP(-LN(2)/2)*CM97+(1-EXP(-LN(2)/2))/(LN(2)/2)*CG98*CJ98*VLOOKUP('Données projet'!$B$12,Paramètres!$A$1:$I$89,3,0)*0.475*44/12</f>
        <v>1.2122470327132101E-9</v>
      </c>
      <c r="CN98" s="22">
        <f t="shared" si="66"/>
        <v>0.60944696077919591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5.6843418860808015E-14</v>
      </c>
      <c r="CU98" s="17">
        <f>CT98*VLOOKUP('Données projet'!$B$13,Paramètres!$A$1:$I$89,3,0)*VLOOKUP('Données projet'!$B$13,Paramètres!$A$1:$I$89,5,0)</f>
        <v>3.813056537183002E-14</v>
      </c>
      <c r="CV98" s="13">
        <f t="shared" si="95"/>
        <v>6.4086286045526829E-13</v>
      </c>
      <c r="CW98" s="20">
        <f t="shared" si="67"/>
        <v>1.1825802166488628E-12</v>
      </c>
      <c r="CX98" s="59">
        <f t="shared" si="68"/>
        <v>293.33333333333451</v>
      </c>
      <c r="CY98" s="59">
        <f ca="1">AVERAGE(OFFSET($CX$3,0,0,'Données projet'!$E$13+1,1))-AVERAGE(OFFSET($H$3,0,0,'Données projet'!$E$13+1,1))</f>
        <v>156.63226020379989</v>
      </c>
      <c r="CZ98" s="59">
        <f t="shared" si="96"/>
        <v>196.0481096619543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1.4300101919123989</v>
      </c>
      <c r="DH98" s="21">
        <f>EXP(-LN(2)/2)*DH97+(1-EXP(-LN(2)/2))/(LN(2)/2)*DB98*DE98*VLOOKUP('Données projet'!$B$13,Paramètres!$A$1:$I$89,3,0)*0.475*44/12</f>
        <v>1.4938210912705478E-9</v>
      </c>
      <c r="DI98" s="22">
        <f t="shared" si="69"/>
        <v>1.4300101934062199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-8.5265128291212022E-14</v>
      </c>
      <c r="DP98" s="17">
        <f>DO98*VLOOKUP('Données projet'!$B$14,Paramètres!$A$1:$I$89,3,0)*VLOOKUP('Données projet'!$B$14,Paramètres!$A$1:$I$89,5,0)</f>
        <v>-7.7147888077888636E-14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225.28075317732998</v>
      </c>
      <c r="DU98" s="59">
        <f t="shared" si="98"/>
        <v>358.43407531256207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0.61926285401695658</v>
      </c>
      <c r="EB98" s="21">
        <f>EXP(-LN(2)/25)*EB97+(1-EXP(-LN(2)/25))/(LN(2)/25)*Calculateur!DW98*Calculateur!DY98*VLOOKUP('Données projet'!$B$14,Paramètres!$A$1:$I$89,3,0)*0.475*44/12</f>
        <v>1.3643805284628197</v>
      </c>
      <c r="EC98" s="21">
        <f>EXP(-LN(2)/2)*EC97+(1-EXP(-LN(2)/2))/(LN(2)/2)*DW98*DZ98*VLOOKUP('Données projet'!$B$14,Paramètres!$A$1:$I$89,3,0)*0.475*44/12</f>
        <v>7.2670734084573469E-10</v>
      </c>
      <c r="ED98" s="22">
        <f t="shared" si="72"/>
        <v>1.9836433832064835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-5.6843418860808015E-13</v>
      </c>
      <c r="EK98" s="17">
        <f>EJ98*VLOOKUP('Données projet'!$B$15,Paramètres!$A$1:$I$89,3,0)*VLOOKUP('Données projet'!$B$15,Paramètres!$A$1:$I$89,5,0)</f>
        <v>-3.177547114319168E-13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326.31232746914907</v>
      </c>
      <c r="EP98" s="59">
        <f t="shared" si="100"/>
        <v>330.17137761430297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1.2608550733161947</v>
      </c>
      <c r="EW98" s="21">
        <f>EXP(-LN(2)/25)*EW97+(1-EXP(-LN(2)/25))/(LN(2)/25)*Calculateur!ER98*Calculateur!ET98*VLOOKUP('Données projet'!$B$15,Paramètres!$A$1:$I$89,3,0)*0.475*44/12</f>
        <v>4.9766804914592724</v>
      </c>
      <c r="EX98" s="21">
        <f>EXP(-LN(2)/2)*EX97+(1-EXP(-LN(2)/2))/(LN(2)/2)*ER98*EU98*VLOOKUP('Données projet'!$B$15,Paramètres!$A$1:$I$89,3,0)*0.475*44/12</f>
        <v>5.3543106711196979E-9</v>
      </c>
      <c r="EY98" s="22">
        <f t="shared" si="75"/>
        <v>6.2375355701297774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255.41017495879987</v>
      </c>
      <c r="FK98" s="59">
        <f t="shared" si="102"/>
        <v>297.50513563712764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2.3031263918503</v>
      </c>
      <c r="FR98" s="21">
        <f>EXP(-LN(2)/25)*FR97+(1-EXP(-LN(2)/25))/(LN(2)/25)*Calculateur!FM98*Calculateur!FO98*VLOOKUP('Données projet'!$B$16,Paramètres!$A$1:$I$89,3,0)*0.475*44/12</f>
        <v>4.5968138644191949</v>
      </c>
      <c r="FS98" s="21">
        <f>EXP(-LN(2)/2)*FS97+(1-EXP(-LN(2)/2))/(LN(2)/2)*FM98*FP98*VLOOKUP('Données projet'!$B$16,Paramètres!$A$1:$I$89,3,0)*0.475*44/12</f>
        <v>4.0173176028624808E-9</v>
      </c>
      <c r="FT98" s="22">
        <f t="shared" si="78"/>
        <v>6.8999402602868134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1.1368683772161603E-13</v>
      </c>
      <c r="GA98" s="17">
        <f>FZ98*VLOOKUP('Données projet'!$B$17,Paramètres!$A$1:$I$89,3,0)*VLOOKUP('Données projet'!$B$17,Paramètres!$A$1:$I$89,5,0)</f>
        <v>6.7984728957526396E-14</v>
      </c>
      <c r="GB98" s="13">
        <f t="shared" si="103"/>
        <v>1.0682447123141398E-12</v>
      </c>
      <c r="GC98" s="20">
        <f t="shared" si="79"/>
        <v>1.978932943548152E-12</v>
      </c>
      <c r="GD98" s="59">
        <f t="shared" si="80"/>
        <v>293.3333333333353</v>
      </c>
      <c r="GE98" s="59">
        <f ca="1">AVERAGE(OFFSET($GD$3,0,0,'Données projet'!$E$17+1,1))-AVERAGE(OFFSET($H$3,0,0,'Données projet'!$E$17+1,1))</f>
        <v>259.30247982593914</v>
      </c>
      <c r="GF98" s="59">
        <f t="shared" si="104"/>
        <v>275.24740346220779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</v>
      </c>
      <c r="GM98" s="21">
        <f>EXP(-LN(2)/25)*GM97+(1-EXP(-LN(2)/25))/(LN(2)/25)*Calculateur!GH98*Calculateur!GJ98*VLOOKUP('Données projet'!$B$17,Paramètres!$A$1:$I$89,3,0)*0.475*44/12</f>
        <v>2.9743379188489842</v>
      </c>
      <c r="GN98" s="21">
        <f>EXP(-LN(2)/2)*GN97+(1-EXP(-LN(2)/2))/(LN(2)/2)*GH98*GK98*VLOOKUP('Données projet'!$B$17,Paramètres!$A$1:$I$89,3,0)*0.475*44/12</f>
        <v>4.7218415311573401E-9</v>
      </c>
      <c r="GO98" s="21">
        <f t="shared" si="81"/>
        <v>2.9743379235708258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5.6843418860808015E-14</v>
      </c>
      <c r="GV98" s="17">
        <f>GU98*VLOOKUP('Données projet'!$B$18,Paramètres!$A$1:$I$89,3,0)*VLOOKUP('Données projet'!$B$18,Paramètres!$A$1:$I$89,5,0)</f>
        <v>4.5224624045658861E-14</v>
      </c>
      <c r="GW98" s="13">
        <f t="shared" si="105"/>
        <v>7.4514601661523691E-13</v>
      </c>
      <c r="GX98" s="20">
        <f t="shared" si="82"/>
        <v>1.3765621991510601E-12</v>
      </c>
      <c r="GY98" s="59">
        <f t="shared" si="83"/>
        <v>293.33333333333468</v>
      </c>
      <c r="GZ98" s="59">
        <f ca="1">AVERAGE(OFFSET($GY$3,0,0,'Données projet'!$E$18+1,1))-AVERAGE(OFFSET($H$3,0,0,'Données projet'!$E$18+1,1))</f>
        <v>199.58763537752952</v>
      </c>
      <c r="HA98" s="59">
        <f t="shared" si="106"/>
        <v>242.62852778451929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0</v>
      </c>
      <c r="HH98" s="21">
        <f>EXP(-LN(2)/25)*HH97+(1-EXP(-LN(2)/25))/(LN(2)/25)*Calculateur!HC98*Calculateur!HE98*VLOOKUP('Données projet'!$B$18,Paramètres!$A$1:$I$89,3,0)*0.475*44/12</f>
        <v>1.6960585997100535</v>
      </c>
      <c r="HI98" s="21">
        <f>EXP(-LN(2)/2)*HI97+(1-EXP(-LN(2)/2))/(LN(2)/2)*HC98*HF98*VLOOKUP('Données projet'!$B$18,Paramètres!$A$1:$I$89,3,0)*0.475*44/12</f>
        <v>1.7717412942976281E-9</v>
      </c>
      <c r="HJ98" s="22">
        <f t="shared" si="84"/>
        <v>1.6960586014817947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283.40000000000032</v>
      </c>
      <c r="O99" s="13">
        <f>N99*VLOOKUP('Données projet'!$B$9,Paramètres!$A$1:$I$89,3,0)*VLOOKUP('Données projet'!$B$9,Paramètres!$A$1:$I$89,5,0)</f>
        <v>256.42032000000029</v>
      </c>
      <c r="P99" s="13">
        <f t="shared" si="87"/>
        <v>61.958720258016967</v>
      </c>
      <c r="Q99" s="20">
        <f t="shared" ref="Q99:Q130" si="107">(O99+P99)*0.475*44/12</f>
        <v>554.51016178271334</v>
      </c>
      <c r="R99" s="59">
        <f t="shared" si="55"/>
        <v>847.8434951160466</v>
      </c>
      <c r="S99" s="59">
        <f ca="1">AVERAGE(OFFSET($R$3,0,0,'Données projet'!$E$9+1,1))-AVERAGE(OFFSET($H$3,0,0,'Données projet'!$E$9+1,1))</f>
        <v>237.22177246688199</v>
      </c>
      <c r="T99" s="59">
        <f t="shared" si="88"/>
        <v>149.27472147904302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0.49828018585034406</v>
      </c>
      <c r="AB99" s="21">
        <f>EXP(-LN(2)/2)*AB98+(1-EXP(-LN(2)/2))/(LN(2)/2)*V99*Y99*VLOOKUP('Données projet'!$B$9,Paramètres!$A$1:$I$89,3,0)*0.475*44/12</f>
        <v>7.2053492237213385E-10</v>
      </c>
      <c r="AC99" s="22">
        <f t="shared" si="57"/>
        <v>0.49828018657087897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283.40000000000032</v>
      </c>
      <c r="AJ99" s="13">
        <f>AI99*VLOOKUP('Données projet'!$B$10,Paramètres!$A$1:$I$89,3,0)*VLOOKUP('Données projet'!$B$10,Paramètres!$A$1:$I$89,5,0)</f>
        <v>287.36760000000032</v>
      </c>
      <c r="AK99" s="13">
        <f t="shared" si="89"/>
        <v>68.52163320156518</v>
      </c>
      <c r="AL99" s="20">
        <f t="shared" si="58"/>
        <v>619.84041449272661</v>
      </c>
      <c r="AM99" s="59">
        <f t="shared" si="59"/>
        <v>913.17374782605998</v>
      </c>
      <c r="AN99" s="59">
        <f ca="1">AVERAGE(OFFSET($AM$3,0,0,'Données projet'!$E$10+1,1))-AVERAGE(OFFSET($H$3,0,0,'Données projet'!$E$10+1,1))</f>
        <v>279.20364724206644</v>
      </c>
      <c r="AO99" s="59">
        <f t="shared" si="90"/>
        <v>173.99850582760712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0.55841744965986817</v>
      </c>
      <c r="AW99" s="21">
        <f>EXP(-LN(2)/2)*AW98+(1-EXP(-LN(2)/2))/(LN(2)/2)*AQ99*AT99*VLOOKUP('Données projet'!$B$10,Paramètres!$A$1:$I$89,3,0)*0.475*44/12</f>
        <v>8.074960336929085E-10</v>
      </c>
      <c r="AX99" s="21">
        <f t="shared" si="60"/>
        <v>0.55841745046736424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18.5</v>
      </c>
      <c r="BD99" s="12">
        <f>IF('Données projet'!$A$88&gt;35,BD98+BC99-BL98,IF(A99&lt;'Données projet'!$A$88,$BA$205^A99,IF(A99='Données projet'!$A$88,'Données projet'!$B$88,BD98+BC99-BL98)))</f>
        <v>652.19999999999993</v>
      </c>
      <c r="BE99" s="13">
        <f>BD99*VLOOKUP('Données projet'!$B$11,Paramètres!$A$1:$I$89,3,0)*VLOOKUP('Données projet'!$B$11,Paramètres!$A$1:$I$89,5,0)</f>
        <v>305.22959999999995</v>
      </c>
      <c r="BF99" s="13">
        <f t="shared" si="91"/>
        <v>72.271683388093081</v>
      </c>
      <c r="BG99" s="20">
        <f t="shared" si="61"/>
        <v>657.48140190092874</v>
      </c>
      <c r="BH99" s="59">
        <f t="shared" si="62"/>
        <v>950.81473523426212</v>
      </c>
      <c r="BI99" s="59">
        <f ca="1">AVERAGE(OFFSET($BH$3,0,0,'Données projet'!$E$11+1,1))-AVERAGE(OFFSET($H$3,0,0,'Données projet'!$E$11+1,1))</f>
        <v>215.23235148064941</v>
      </c>
      <c r="BJ99" s="59">
        <f t="shared" si="92"/>
        <v>184.07239726900434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0.84824833714941783</v>
      </c>
      <c r="BQ99" s="21">
        <f>EXP(-LN(2)/25)*BQ98+(1-EXP(-LN(2)/25))/(LN(2)/25)*Calculateur!BL99*Calculateur!BN99*VLOOKUP('Données projet'!$B$11,Paramètres!$A$1:$I$89,3,0)*0.475*44/12</f>
        <v>1.2602382986621448</v>
      </c>
      <c r="BR99" s="21">
        <f>EXP(-LN(2)/2)*BR98+(1-EXP(-LN(2)/2))/(LN(2)/2)*BL99*BO99*VLOOKUP('Données projet'!$B$11,Paramètres!$A$1:$I$89,3,0)*0.475*44/12</f>
        <v>1.1446159892128771E-9</v>
      </c>
      <c r="BS99" s="22">
        <f t="shared" si="63"/>
        <v>2.1084866369561786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4.9000000000000004</v>
      </c>
      <c r="BY99" s="12">
        <f>IF('Données projet'!$A$114&gt;35,BY98+BX99-CG98,IF(A99&lt;'Données projet'!$A$114,$BV$205^A99,IF(A99='Données projet'!$A$114,'Données projet'!$B$114,BY98+BX99-CG98)))</f>
        <v>283.40000000000032</v>
      </c>
      <c r="BZ99" s="13">
        <f>BY99*VLOOKUP('Données projet'!$B$12,Paramètres!$A$1:$I$89,3,0)*VLOOKUP('Données projet'!$B$12,Paramètres!$A$1:$I$89,5,0)</f>
        <v>305.05176000000029</v>
      </c>
      <c r="CA99" s="13">
        <f t="shared" si="93"/>
        <v>72.234474952582318</v>
      </c>
      <c r="CB99" s="20">
        <f t="shared" si="64"/>
        <v>657.10685920908134</v>
      </c>
      <c r="CC99" s="59">
        <f t="shared" si="65"/>
        <v>950.44019254241471</v>
      </c>
      <c r="CD99" s="59">
        <f ca="1">AVERAGE(OFFSET($CC$3,0,0,'Données projet'!$E$12+1,1))-AVERAGE(OFFSET($H$3,0,0,'Données projet'!$E$12+1,1))</f>
        <v>303.1504619632214</v>
      </c>
      <c r="CE99" s="59">
        <f t="shared" si="94"/>
        <v>188.09929616366503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0.59278160040816796</v>
      </c>
      <c r="CM99" s="21">
        <f>EXP(-LN(2)/2)*CM98+(1-EXP(-LN(2)/2))/(LN(2)/2)*CG99*CJ99*VLOOKUP('Données projet'!$B$12,Paramètres!$A$1:$I$89,3,0)*0.475*44/12</f>
        <v>8.5718809730478141E-10</v>
      </c>
      <c r="CN99" s="22">
        <f t="shared" si="66"/>
        <v>0.59278160126535606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5.6843418860808015E-14</v>
      </c>
      <c r="CU99" s="17">
        <f>CT99*VLOOKUP('Données projet'!$B$13,Paramètres!$A$1:$I$89,3,0)*VLOOKUP('Données projet'!$B$13,Paramètres!$A$1:$I$89,5,0)</f>
        <v>3.813056537183002E-14</v>
      </c>
      <c r="CV99" s="13">
        <f t="shared" si="95"/>
        <v>6.4086286045526829E-13</v>
      </c>
      <c r="CW99" s="20">
        <f t="shared" si="67"/>
        <v>1.1825802166488628E-12</v>
      </c>
      <c r="CX99" s="59">
        <f t="shared" si="68"/>
        <v>293.33333333333451</v>
      </c>
      <c r="CY99" s="59">
        <f ca="1">AVERAGE(OFFSET($CX$3,0,0,'Données projet'!$E$13+1,1))-AVERAGE(OFFSET($H$3,0,0,'Données projet'!$E$13+1,1))</f>
        <v>156.63226020379989</v>
      </c>
      <c r="CZ99" s="59">
        <f t="shared" si="96"/>
        <v>196.0481096619543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1.3909064880135866</v>
      </c>
      <c r="DH99" s="21">
        <f>EXP(-LN(2)/2)*DH98+(1-EXP(-LN(2)/2))/(LN(2)/2)*DB99*DE99*VLOOKUP('Données projet'!$B$13,Paramètres!$A$1:$I$89,3,0)*0.475*44/12</f>
        <v>1.0562910235168929E-9</v>
      </c>
      <c r="DI99" s="22">
        <f t="shared" si="69"/>
        <v>1.3909064890698777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-8.5265128291212022E-14</v>
      </c>
      <c r="DP99" s="17">
        <f>DO99*VLOOKUP('Données projet'!$B$14,Paramètres!$A$1:$I$89,3,0)*VLOOKUP('Données projet'!$B$14,Paramètres!$A$1:$I$89,5,0)</f>
        <v>-7.7147888077888636E-14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225.28075317732998</v>
      </c>
      <c r="DU99" s="59">
        <f t="shared" si="98"/>
        <v>358.43407531256207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0.6071194871627289</v>
      </c>
      <c r="EB99" s="21">
        <f>EXP(-LN(2)/25)*EB98+(1-EXP(-LN(2)/25))/(LN(2)/25)*Calculateur!DW99*Calculateur!DY99*VLOOKUP('Données projet'!$B$14,Paramètres!$A$1:$I$89,3,0)*0.475*44/12</f>
        <v>1.3270714711623501</v>
      </c>
      <c r="EC99" s="21">
        <f>EXP(-LN(2)/2)*EC98+(1-EXP(-LN(2)/2))/(LN(2)/2)*DW99*DZ99*VLOOKUP('Données projet'!$B$14,Paramètres!$A$1:$I$89,3,0)*0.475*44/12</f>
        <v>5.1385968865006273E-10</v>
      </c>
      <c r="ED99" s="22">
        <f t="shared" si="72"/>
        <v>1.9341909588389385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-5.6843418860808015E-13</v>
      </c>
      <c r="EK99" s="17">
        <f>EJ99*VLOOKUP('Données projet'!$B$15,Paramètres!$A$1:$I$89,3,0)*VLOOKUP('Données projet'!$B$15,Paramètres!$A$1:$I$89,5,0)</f>
        <v>-3.177547114319168E-13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326.31232746914907</v>
      </c>
      <c r="EP99" s="59">
        <f t="shared" si="100"/>
        <v>330.17137761430297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1.2361304743741219</v>
      </c>
      <c r="EW99" s="21">
        <f>EXP(-LN(2)/25)*EW98+(1-EXP(-LN(2)/25))/(LN(2)/25)*Calculateur!ER99*Calculateur!ET99*VLOOKUP('Données projet'!$B$15,Paramètres!$A$1:$I$89,3,0)*0.475*44/12</f>
        <v>4.8405929017080656</v>
      </c>
      <c r="EX99" s="21">
        <f>EXP(-LN(2)/2)*EX98+(1-EXP(-LN(2)/2))/(LN(2)/2)*ER99*EU99*VLOOKUP('Données projet'!$B$15,Paramètres!$A$1:$I$89,3,0)*0.475*44/12</f>
        <v>3.7860693841282327E-9</v>
      </c>
      <c r="EY99" s="22">
        <f t="shared" si="75"/>
        <v>6.0767233798682563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255.41017495879987</v>
      </c>
      <c r="FK99" s="59">
        <f t="shared" si="102"/>
        <v>297.50513563712764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2.2579634880745054</v>
      </c>
      <c r="FR99" s="21">
        <f>EXP(-LN(2)/25)*FR98+(1-EXP(-LN(2)/25))/(LN(2)/25)*Calculateur!FM99*Calculateur!FO99*VLOOKUP('Données projet'!$B$16,Paramètres!$A$1:$I$89,3,0)*0.475*44/12</f>
        <v>4.4711137475607172</v>
      </c>
      <c r="FS99" s="21">
        <f>EXP(-LN(2)/2)*FS98+(1-EXP(-LN(2)/2))/(LN(2)/2)*FM99*FP99*VLOOKUP('Données projet'!$B$16,Paramètres!$A$1:$I$89,3,0)*0.475*44/12</f>
        <v>2.8406725191641459E-9</v>
      </c>
      <c r="FT99" s="22">
        <f t="shared" si="78"/>
        <v>6.7290772384758952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1.1368683772161603E-13</v>
      </c>
      <c r="GA99" s="17">
        <f>FZ99*VLOOKUP('Données projet'!$B$17,Paramètres!$A$1:$I$89,3,0)*VLOOKUP('Données projet'!$B$17,Paramètres!$A$1:$I$89,5,0)</f>
        <v>6.7984728957526396E-14</v>
      </c>
      <c r="GB99" s="13">
        <f t="shared" si="103"/>
        <v>1.0682447123141398E-12</v>
      </c>
      <c r="GC99" s="20">
        <f t="shared" si="79"/>
        <v>1.978932943548152E-12</v>
      </c>
      <c r="GD99" s="59">
        <f t="shared" si="80"/>
        <v>293.3333333333353</v>
      </c>
      <c r="GE99" s="59">
        <f ca="1">AVERAGE(OFFSET($GD$3,0,0,'Données projet'!$E$17+1,1))-AVERAGE(OFFSET($H$3,0,0,'Données projet'!$E$17+1,1))</f>
        <v>259.30247982593914</v>
      </c>
      <c r="GF99" s="59">
        <f t="shared" si="104"/>
        <v>275.24740346220779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</v>
      </c>
      <c r="GM99" s="21">
        <f>EXP(-LN(2)/25)*GM98+(1-EXP(-LN(2)/25))/(LN(2)/25)*Calculateur!GH99*Calculateur!GJ99*VLOOKUP('Données projet'!$B$17,Paramètres!$A$1:$I$89,3,0)*0.475*44/12</f>
        <v>2.8930044920444256</v>
      </c>
      <c r="GN99" s="21">
        <f>EXP(-LN(2)/2)*GN98+(1-EXP(-LN(2)/2))/(LN(2)/2)*GH99*GK99*VLOOKUP('Données projet'!$B$17,Paramètres!$A$1:$I$89,3,0)*0.475*44/12</f>
        <v>3.3388461663696259E-9</v>
      </c>
      <c r="GO99" s="21">
        <f t="shared" si="81"/>
        <v>2.8930044953832716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5.6843418860808015E-14</v>
      </c>
      <c r="GV99" s="17">
        <f>GU99*VLOOKUP('Données projet'!$B$18,Paramètres!$A$1:$I$89,3,0)*VLOOKUP('Données projet'!$B$18,Paramètres!$A$1:$I$89,5,0)</f>
        <v>4.5224624045658861E-14</v>
      </c>
      <c r="GW99" s="13">
        <f t="shared" si="105"/>
        <v>7.4514601661523691E-13</v>
      </c>
      <c r="GX99" s="20">
        <f t="shared" si="82"/>
        <v>1.3765621991510601E-12</v>
      </c>
      <c r="GY99" s="59">
        <f t="shared" si="83"/>
        <v>293.33333333333468</v>
      </c>
      <c r="GZ99" s="59">
        <f ca="1">AVERAGE(OFFSET($GY$3,0,0,'Données projet'!$E$18+1,1))-AVERAGE(OFFSET($H$3,0,0,'Données projet'!$E$18+1,1))</f>
        <v>199.58763537752952</v>
      </c>
      <c r="HA99" s="59">
        <f t="shared" si="106"/>
        <v>242.62852778451929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0</v>
      </c>
      <c r="HH99" s="21">
        <f>EXP(-LN(2)/25)*HH98+(1-EXP(-LN(2)/25))/(LN(2)/25)*Calculateur!HC99*Calculateur!HE99*VLOOKUP('Données projet'!$B$18,Paramètres!$A$1:$I$89,3,0)*0.475*44/12</f>
        <v>1.6496797881091367</v>
      </c>
      <c r="HI99" s="21">
        <f>EXP(-LN(2)/2)*HI98+(1-EXP(-LN(2)/2))/(LN(2)/2)*HC99*HF99*VLOOKUP('Données projet'!$B$18,Paramètres!$A$1:$I$89,3,0)*0.475*44/12</f>
        <v>1.2528102837060834E-9</v>
      </c>
      <c r="HJ99" s="22">
        <f t="shared" si="84"/>
        <v>1.649679789361947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288.3000000000003</v>
      </c>
      <c r="O100" s="13">
        <f>N100*VLOOKUP('Données projet'!$B$9,Paramètres!$A$1:$I$89,3,0)*VLOOKUP('Données projet'!$B$9,Paramètres!$A$1:$I$89,5,0)</f>
        <v>260.85384000000028</v>
      </c>
      <c r="P100" s="13">
        <f t="shared" si="87"/>
        <v>62.90434739590382</v>
      </c>
      <c r="Q100" s="20">
        <f t="shared" si="107"/>
        <v>563.87884304786633</v>
      </c>
      <c r="R100" s="59">
        <f t="shared" si="55"/>
        <v>857.2121763811997</v>
      </c>
      <c r="S100" s="59">
        <f ca="1">AVERAGE(OFFSET($R$3,0,0,'Données projet'!$E$9+1,1))-AVERAGE(OFFSET($H$3,0,0,'Données projet'!$E$9+1,1))</f>
        <v>237.22177246688199</v>
      </c>
      <c r="T100" s="59">
        <f t="shared" si="88"/>
        <v>149.27472147904302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0.48465468796485028</v>
      </c>
      <c r="AB100" s="21">
        <f>EXP(-LN(2)/2)*AB99+(1-EXP(-LN(2)/2))/(LN(2)/2)*V100*Y100*VLOOKUP('Données projet'!$B$9,Paramètres!$A$1:$I$89,3,0)*0.475*44/12</f>
        <v>5.0949512969105845E-10</v>
      </c>
      <c r="AC100" s="22">
        <f t="shared" si="57"/>
        <v>0.4846546884743454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288.3000000000003</v>
      </c>
      <c r="AJ100" s="13">
        <f>AI100*VLOOKUP('Données projet'!$B$10,Paramètres!$A$1:$I$89,3,0)*VLOOKUP('Données projet'!$B$10,Paramètres!$A$1:$I$89,5,0)</f>
        <v>292.33620000000036</v>
      </c>
      <c r="AK100" s="13">
        <f t="shared" si="89"/>
        <v>69.567424909623327</v>
      </c>
      <c r="AL100" s="20">
        <f t="shared" si="58"/>
        <v>630.31548005092793</v>
      </c>
      <c r="AM100" s="59">
        <f t="shared" si="59"/>
        <v>923.6488133842613</v>
      </c>
      <c r="AN100" s="59">
        <f ca="1">AVERAGE(OFFSET($AM$3,0,0,'Données projet'!$E$10+1,1))-AVERAGE(OFFSET($H$3,0,0,'Données projet'!$E$10+1,1))</f>
        <v>279.20364724206644</v>
      </c>
      <c r="AO100" s="59">
        <f t="shared" si="90"/>
        <v>173.99850582760712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0.54314749513302163</v>
      </c>
      <c r="AW100" s="21">
        <f>EXP(-LN(2)/2)*AW99+(1-EXP(-LN(2)/2))/(LN(2)/2)*AQ100*AT100*VLOOKUP('Données projet'!$B$10,Paramètres!$A$1:$I$89,3,0)*0.475*44/12</f>
        <v>5.7098592120549646E-10</v>
      </c>
      <c r="AX100" s="21">
        <f t="shared" si="60"/>
        <v>0.54314749570400755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18.5</v>
      </c>
      <c r="BD100" s="12">
        <f>IF('Données projet'!$A$88&gt;35,BD99+BC100-BL99,IF(A100&lt;'Données projet'!$A$88,$BA$205^A100,IF(A100='Données projet'!$A$88,'Données projet'!$B$88,BD99+BC100-BL99)))</f>
        <v>670.69999999999993</v>
      </c>
      <c r="BE100" s="13">
        <f>BD100*VLOOKUP('Données projet'!$B$11,Paramètres!$A$1:$I$89,3,0)*VLOOKUP('Données projet'!$B$11,Paramètres!$A$1:$I$89,5,0)</f>
        <v>313.88759999999996</v>
      </c>
      <c r="BF100" s="13">
        <f t="shared" si="91"/>
        <v>74.080125962367049</v>
      </c>
      <c r="BG100" s="20">
        <f t="shared" si="61"/>
        <v>675.71045605112249</v>
      </c>
      <c r="BH100" s="59">
        <f t="shared" si="62"/>
        <v>969.04378938445575</v>
      </c>
      <c r="BI100" s="59">
        <f ca="1">AVERAGE(OFFSET($BH$3,0,0,'Données projet'!$E$11+1,1))-AVERAGE(OFFSET($H$3,0,0,'Données projet'!$E$11+1,1))</f>
        <v>215.23235148064941</v>
      </c>
      <c r="BJ100" s="59">
        <f t="shared" si="92"/>
        <v>184.07239726900434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0.83161470463831633</v>
      </c>
      <c r="BQ100" s="21">
        <f>EXP(-LN(2)/25)*BQ99+(1-EXP(-LN(2)/25))/(LN(2)/25)*Calculateur!BL100*Calculateur!BN100*VLOOKUP('Données projet'!$B$11,Paramètres!$A$1:$I$89,3,0)*0.475*44/12</f>
        <v>1.2257770161121766</v>
      </c>
      <c r="BR100" s="21">
        <f>EXP(-LN(2)/2)*BR99+(1-EXP(-LN(2)/2))/(LN(2)/2)*BL100*BO100*VLOOKUP('Données projet'!$B$11,Paramètres!$A$1:$I$89,3,0)*0.475*44/12</f>
        <v>8.0936572782697355E-10</v>
      </c>
      <c r="BS100" s="22">
        <f t="shared" si="63"/>
        <v>2.0573917215598589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4.9000000000000004</v>
      </c>
      <c r="BY100" s="12">
        <f>IF('Données projet'!$A$114&gt;35,BY99+BX100-CG99,IF(A100&lt;'Données projet'!$A$114,$BV$205^A100,IF(A100='Données projet'!$A$114,'Données projet'!$B$114,BY99+BX100-CG99)))</f>
        <v>288.3000000000003</v>
      </c>
      <c r="BZ100" s="13">
        <f>BY100*VLOOKUP('Données projet'!$B$12,Paramètres!$A$1:$I$89,3,0)*VLOOKUP('Données projet'!$B$12,Paramètres!$A$1:$I$89,5,0)</f>
        <v>310.32612000000029</v>
      </c>
      <c r="CA100" s="13">
        <f t="shared" si="93"/>
        <v>73.336932839409428</v>
      </c>
      <c r="CB100" s="20">
        <f t="shared" si="64"/>
        <v>668.213150361972</v>
      </c>
      <c r="CC100" s="59">
        <f t="shared" si="65"/>
        <v>961.54648369530537</v>
      </c>
      <c r="CD100" s="59">
        <f ca="1">AVERAGE(OFFSET($CC$3,0,0,'Données projet'!$E$12+1,1))-AVERAGE(OFFSET($H$3,0,0,'Données projet'!$E$12+1,1))</f>
        <v>303.1504619632214</v>
      </c>
      <c r="CE100" s="59">
        <f t="shared" si="94"/>
        <v>188.09929616366503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0.57657195637197711</v>
      </c>
      <c r="CM100" s="21">
        <f>EXP(-LN(2)/2)*CM99+(1-EXP(-LN(2)/2))/(LN(2)/2)*CG100*CJ100*VLOOKUP('Données projet'!$B$12,Paramètres!$A$1:$I$89,3,0)*0.475*44/12</f>
        <v>6.0612351635660507E-10</v>
      </c>
      <c r="CN100" s="22">
        <f t="shared" si="66"/>
        <v>0.5765719569781006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5.6843418860808015E-14</v>
      </c>
      <c r="CU100" s="17">
        <f>CT100*VLOOKUP('Données projet'!$B$13,Paramètres!$A$1:$I$89,3,0)*VLOOKUP('Données projet'!$B$13,Paramètres!$A$1:$I$89,5,0)</f>
        <v>3.813056537183002E-14</v>
      </c>
      <c r="CV100" s="13">
        <f t="shared" si="95"/>
        <v>6.4086286045526829E-13</v>
      </c>
      <c r="CW100" s="20">
        <f t="shared" si="67"/>
        <v>1.1825802166488628E-12</v>
      </c>
      <c r="CX100" s="59">
        <f t="shared" si="68"/>
        <v>293.33333333333451</v>
      </c>
      <c r="CY100" s="59">
        <f ca="1">AVERAGE(OFFSET($CX$3,0,0,'Données projet'!$E$13+1,1))-AVERAGE(OFFSET($H$3,0,0,'Données projet'!$E$13+1,1))</f>
        <v>156.63226020379989</v>
      </c>
      <c r="CZ100" s="59">
        <f t="shared" si="96"/>
        <v>196.0481096619543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1.3528720769542619</v>
      </c>
      <c r="DH100" s="21">
        <f>EXP(-LN(2)/2)*DH99+(1-EXP(-LN(2)/2))/(LN(2)/2)*DB100*DE100*VLOOKUP('Données projet'!$B$13,Paramètres!$A$1:$I$89,3,0)*0.475*44/12</f>
        <v>7.4691054563527389E-10</v>
      </c>
      <c r="DI100" s="22">
        <f t="shared" si="69"/>
        <v>1.3528720777011725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-8.5265128291212022E-14</v>
      </c>
      <c r="DP100" s="17">
        <f>DO100*VLOOKUP('Données projet'!$B$14,Paramètres!$A$1:$I$89,3,0)*VLOOKUP('Données projet'!$B$14,Paramètres!$A$1:$I$89,5,0)</f>
        <v>-7.7147888077888636E-14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225.28075317732998</v>
      </c>
      <c r="DU100" s="59">
        <f t="shared" si="98"/>
        <v>358.43407531256207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0.59521424432579029</v>
      </c>
      <c r="EB100" s="21">
        <f>EXP(-LN(2)/25)*EB99+(1-EXP(-LN(2)/25))/(LN(2)/25)*Calculateur!DW100*Calculateur!DY100*VLOOKUP('Données projet'!$B$14,Paramètres!$A$1:$I$89,3,0)*0.475*44/12</f>
        <v>1.29078263199576</v>
      </c>
      <c r="EC100" s="21">
        <f>EXP(-LN(2)/2)*EC99+(1-EXP(-LN(2)/2))/(LN(2)/2)*DW100*DZ100*VLOOKUP('Données projet'!$B$14,Paramètres!$A$1:$I$89,3,0)*0.475*44/12</f>
        <v>3.6335367042286735E-10</v>
      </c>
      <c r="ED100" s="22">
        <f t="shared" si="72"/>
        <v>1.885996876684904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-5.6843418860808015E-13</v>
      </c>
      <c r="EK100" s="17">
        <f>EJ100*VLOOKUP('Données projet'!$B$15,Paramètres!$A$1:$I$89,3,0)*VLOOKUP('Données projet'!$B$15,Paramètres!$A$1:$I$89,5,0)</f>
        <v>-3.177547114319168E-13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326.31232746914907</v>
      </c>
      <c r="EP100" s="59">
        <f t="shared" si="100"/>
        <v>330.17137761430297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1.2118907097367868</v>
      </c>
      <c r="EW100" s="21">
        <f>EXP(-LN(2)/25)*EW99+(1-EXP(-LN(2)/25))/(LN(2)/25)*Calculateur!ER100*Calculateur!ET100*VLOOKUP('Données projet'!$B$15,Paramètres!$A$1:$I$89,3,0)*0.475*44/12</f>
        <v>4.7082266342551415</v>
      </c>
      <c r="EX100" s="21">
        <f>EXP(-LN(2)/2)*EX99+(1-EXP(-LN(2)/2))/(LN(2)/2)*ER100*EU100*VLOOKUP('Données projet'!$B$15,Paramètres!$A$1:$I$89,3,0)*0.475*44/12</f>
        <v>2.677155335559849E-9</v>
      </c>
      <c r="EY100" s="22">
        <f t="shared" si="75"/>
        <v>5.920117346669084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255.41017495879987</v>
      </c>
      <c r="FK100" s="59">
        <f t="shared" si="102"/>
        <v>297.50513563712764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2.2136862012951029</v>
      </c>
      <c r="FR100" s="21">
        <f>EXP(-LN(2)/25)*FR99+(1-EXP(-LN(2)/25))/(LN(2)/25)*Calculateur!FM100*Calculateur!FO100*VLOOKUP('Données projet'!$B$16,Paramètres!$A$1:$I$89,3,0)*0.475*44/12</f>
        <v>4.3488509070080159</v>
      </c>
      <c r="FS100" s="21">
        <f>EXP(-LN(2)/2)*FS99+(1-EXP(-LN(2)/2))/(LN(2)/2)*FM100*FP100*VLOOKUP('Données projet'!$B$16,Paramètres!$A$1:$I$89,3,0)*0.475*44/12</f>
        <v>2.0086588014312404E-9</v>
      </c>
      <c r="FT100" s="22">
        <f t="shared" si="78"/>
        <v>6.5625371103117773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1.1368683772161603E-13</v>
      </c>
      <c r="GA100" s="17">
        <f>FZ100*VLOOKUP('Données projet'!$B$17,Paramètres!$A$1:$I$89,3,0)*VLOOKUP('Données projet'!$B$17,Paramètres!$A$1:$I$89,5,0)</f>
        <v>6.7984728957526396E-14</v>
      </c>
      <c r="GB100" s="13">
        <f t="shared" si="103"/>
        <v>1.0682447123141398E-12</v>
      </c>
      <c r="GC100" s="20">
        <f t="shared" si="79"/>
        <v>1.978932943548152E-12</v>
      </c>
      <c r="GD100" s="59">
        <f t="shared" si="80"/>
        <v>293.3333333333353</v>
      </c>
      <c r="GE100" s="59">
        <f ca="1">AVERAGE(OFFSET($GD$3,0,0,'Données projet'!$E$17+1,1))-AVERAGE(OFFSET($H$3,0,0,'Données projet'!$E$17+1,1))</f>
        <v>259.30247982593914</v>
      </c>
      <c r="GF100" s="59">
        <f t="shared" si="104"/>
        <v>275.24740346220779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</v>
      </c>
      <c r="GM100" s="21">
        <f>EXP(-LN(2)/25)*GM99+(1-EXP(-LN(2)/25))/(LN(2)/25)*Calculateur!GH100*Calculateur!GJ100*VLOOKUP('Données projet'!$B$17,Paramètres!$A$1:$I$89,3,0)*0.475*44/12</f>
        <v>2.8138951320729766</v>
      </c>
      <c r="GN100" s="21">
        <f>EXP(-LN(2)/2)*GN99+(1-EXP(-LN(2)/2))/(LN(2)/2)*GH100*GK100*VLOOKUP('Données projet'!$B$17,Paramètres!$A$1:$I$89,3,0)*0.475*44/12</f>
        <v>2.3609207655786701E-9</v>
      </c>
      <c r="GO100" s="21">
        <f t="shared" si="81"/>
        <v>2.8138951344338974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5.6843418860808015E-14</v>
      </c>
      <c r="GV100" s="17">
        <f>GU100*VLOOKUP('Données projet'!$B$18,Paramètres!$A$1:$I$89,3,0)*VLOOKUP('Données projet'!$B$18,Paramètres!$A$1:$I$89,5,0)</f>
        <v>4.5224624045658861E-14</v>
      </c>
      <c r="GW100" s="13">
        <f t="shared" si="105"/>
        <v>7.4514601661523691E-13</v>
      </c>
      <c r="GX100" s="20">
        <f t="shared" si="82"/>
        <v>1.3765621991510601E-12</v>
      </c>
      <c r="GY100" s="59">
        <f t="shared" si="83"/>
        <v>293.33333333333468</v>
      </c>
      <c r="GZ100" s="59">
        <f ca="1">AVERAGE(OFFSET($GY$3,0,0,'Données projet'!$E$18+1,1))-AVERAGE(OFFSET($H$3,0,0,'Données projet'!$E$18+1,1))</f>
        <v>199.58763537752952</v>
      </c>
      <c r="HA100" s="59">
        <f t="shared" si="106"/>
        <v>242.62852778451929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0</v>
      </c>
      <c r="HH100" s="21">
        <f>EXP(-LN(2)/25)*HH99+(1-EXP(-LN(2)/25))/(LN(2)/25)*Calculateur!HC100*Calculateur!HE100*VLOOKUP('Données projet'!$B$18,Paramètres!$A$1:$I$89,3,0)*0.475*44/12</f>
        <v>1.6045692075504028</v>
      </c>
      <c r="HI100" s="21">
        <f>EXP(-LN(2)/2)*HI99+(1-EXP(-LN(2)/2))/(LN(2)/2)*HC100*HF100*VLOOKUP('Données projet'!$B$18,Paramètres!$A$1:$I$89,3,0)*0.475*44/12</f>
        <v>8.8587064714881406E-10</v>
      </c>
      <c r="HJ100" s="22">
        <f t="shared" si="84"/>
        <v>1.6045692084362735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293.20000000000027</v>
      </c>
      <c r="O101" s="13">
        <f>N101*VLOOKUP('Données projet'!$B$9,Paramètres!$A$1:$I$89,3,0)*VLOOKUP('Données projet'!$B$9,Paramètres!$A$1:$I$89,5,0)</f>
        <v>265.28736000000026</v>
      </c>
      <c r="P101" s="13">
        <f t="shared" si="87"/>
        <v>63.848105500970064</v>
      </c>
      <c r="Q101" s="20">
        <f t="shared" si="107"/>
        <v>573.24426908085661</v>
      </c>
      <c r="R101" s="59">
        <f t="shared" si="55"/>
        <v>866.57760241418987</v>
      </c>
      <c r="S101" s="59">
        <f ca="1">AVERAGE(OFFSET($R$3,0,0,'Données projet'!$E$9+1,1))-AVERAGE(OFFSET($H$3,0,0,'Données projet'!$E$9+1,1))</f>
        <v>237.22177246688199</v>
      </c>
      <c r="T101" s="59">
        <f t="shared" si="88"/>
        <v>149.27472147904302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0.4714017800355691</v>
      </c>
      <c r="AB101" s="21">
        <f>EXP(-LN(2)/2)*AB100+(1-EXP(-LN(2)/2))/(LN(2)/2)*V101*Y101*VLOOKUP('Données projet'!$B$9,Paramètres!$A$1:$I$89,3,0)*0.475*44/12</f>
        <v>3.6026746118606693E-10</v>
      </c>
      <c r="AC101" s="22">
        <f t="shared" si="57"/>
        <v>0.47140178039583658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293.20000000000027</v>
      </c>
      <c r="AJ101" s="13">
        <f>AI101*VLOOKUP('Données projet'!$B$10,Paramètres!$A$1:$I$89,3,0)*VLOOKUP('Données projet'!$B$10,Paramètres!$A$1:$I$89,5,0)</f>
        <v>297.30480000000028</v>
      </c>
      <c r="AK101" s="13">
        <f t="shared" si="89"/>
        <v>70.611149609505034</v>
      </c>
      <c r="AL101" s="20">
        <f t="shared" si="58"/>
        <v>640.78694556988842</v>
      </c>
      <c r="AM101" s="59">
        <f t="shared" si="59"/>
        <v>934.12027890322179</v>
      </c>
      <c r="AN101" s="59">
        <f ca="1">AVERAGE(OFFSET($AM$3,0,0,'Données projet'!$E$10+1,1))-AVERAGE(OFFSET($H$3,0,0,'Données projet'!$E$10+1,1))</f>
        <v>279.20364724206644</v>
      </c>
      <c r="AO101" s="59">
        <f t="shared" si="90"/>
        <v>173.99850582760712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0.52829509831572374</v>
      </c>
      <c r="AW101" s="21">
        <f>EXP(-LN(2)/2)*AW100+(1-EXP(-LN(2)/2))/(LN(2)/2)*AQ101*AT101*VLOOKUP('Données projet'!$B$10,Paramètres!$A$1:$I$89,3,0)*0.475*44/12</f>
        <v>4.0374801684645425E-10</v>
      </c>
      <c r="AX101" s="21">
        <f t="shared" si="60"/>
        <v>0.52829509871947178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18.5</v>
      </c>
      <c r="BD101" s="12">
        <f>IF('Données projet'!$A$88&gt;35,BD100+BC101-BL100,IF(A101&lt;'Données projet'!$A$88,$BA$205^A101,IF(A101='Données projet'!$A$88,'Données projet'!$B$88,BD100+BC101-BL100)))</f>
        <v>689.19999999999993</v>
      </c>
      <c r="BE101" s="13">
        <f>BD101*VLOOKUP('Données projet'!$B$11,Paramètres!$A$1:$I$89,3,0)*VLOOKUP('Données projet'!$B$11,Paramètres!$A$1:$I$89,5,0)</f>
        <v>322.54559999999998</v>
      </c>
      <c r="BF101" s="13">
        <f t="shared" si="91"/>
        <v>75.882770748800752</v>
      </c>
      <c r="BG101" s="20">
        <f t="shared" si="61"/>
        <v>693.92941238749461</v>
      </c>
      <c r="BH101" s="59">
        <f t="shared" si="62"/>
        <v>987.26274572082798</v>
      </c>
      <c r="BI101" s="59">
        <f ca="1">AVERAGE(OFFSET($BH$3,0,0,'Données projet'!$E$11+1,1))-AVERAGE(OFFSET($H$3,0,0,'Données projet'!$E$11+1,1))</f>
        <v>215.23235148064941</v>
      </c>
      <c r="BJ101" s="59">
        <f t="shared" si="92"/>
        <v>184.07239726900434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0.81530724751524353</v>
      </c>
      <c r="BQ101" s="21">
        <f>EXP(-LN(2)/25)*BQ100+(1-EXP(-LN(2)/25))/(LN(2)/25)*Calculateur!BL101*Calculateur!BN101*VLOOKUP('Données projet'!$B$11,Paramètres!$A$1:$I$89,3,0)*0.475*44/12</f>
        <v>1.1922580791457773</v>
      </c>
      <c r="BR101" s="21">
        <f>EXP(-LN(2)/2)*BR100+(1-EXP(-LN(2)/2))/(LN(2)/2)*BL101*BO101*VLOOKUP('Données projet'!$B$11,Paramètres!$A$1:$I$89,3,0)*0.475*44/12</f>
        <v>5.7230799460643855E-10</v>
      </c>
      <c r="BS101" s="22">
        <f t="shared" si="63"/>
        <v>2.0075653272333289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4.9000000000000004</v>
      </c>
      <c r="BY101" s="12">
        <f>IF('Données projet'!$A$114&gt;35,BY100+BX101-CG100,IF(A101&lt;'Données projet'!$A$114,$BV$205^A101,IF(A101='Données projet'!$A$114,'Données projet'!$B$114,BY100+BX101-CG100)))</f>
        <v>293.20000000000027</v>
      </c>
      <c r="BZ101" s="13">
        <f>BY101*VLOOKUP('Données projet'!$B$12,Paramètres!$A$1:$I$89,3,0)*VLOOKUP('Données projet'!$B$12,Paramètres!$A$1:$I$89,5,0)</f>
        <v>315.60048000000029</v>
      </c>
      <c r="CA101" s="13">
        <f t="shared" si="93"/>
        <v>74.43721171731093</v>
      </c>
      <c r="CB101" s="20">
        <f t="shared" si="64"/>
        <v>679.31564640765021</v>
      </c>
      <c r="CC101" s="59">
        <f t="shared" si="65"/>
        <v>972.64897974098358</v>
      </c>
      <c r="CD101" s="59">
        <f ca="1">AVERAGE(OFFSET($CC$3,0,0,'Données projet'!$E$12+1,1))-AVERAGE(OFFSET($H$3,0,0,'Données projet'!$E$12+1,1))</f>
        <v>303.1504619632214</v>
      </c>
      <c r="CE101" s="59">
        <f t="shared" si="94"/>
        <v>188.09929616366503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0.56080556590438402</v>
      </c>
      <c r="CM101" s="21">
        <f>EXP(-LN(2)/2)*CM100+(1-EXP(-LN(2)/2))/(LN(2)/2)*CG101*CJ101*VLOOKUP('Données projet'!$B$12,Paramètres!$A$1:$I$89,3,0)*0.475*44/12</f>
        <v>4.2859404865239071E-10</v>
      </c>
      <c r="CN101" s="22">
        <f t="shared" si="66"/>
        <v>0.56080556633297807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5.6843418860808015E-14</v>
      </c>
      <c r="CU101" s="17">
        <f>CT101*VLOOKUP('Données projet'!$B$13,Paramètres!$A$1:$I$89,3,0)*VLOOKUP('Données projet'!$B$13,Paramètres!$A$1:$I$89,5,0)</f>
        <v>3.813056537183002E-14</v>
      </c>
      <c r="CV101" s="13">
        <f t="shared" si="95"/>
        <v>6.4086286045526829E-13</v>
      </c>
      <c r="CW101" s="20">
        <f t="shared" si="67"/>
        <v>1.1825802166488628E-12</v>
      </c>
      <c r="CX101" s="59">
        <f t="shared" si="68"/>
        <v>293.33333333333451</v>
      </c>
      <c r="CY101" s="59">
        <f ca="1">AVERAGE(OFFSET($CX$3,0,0,'Données projet'!$E$13+1,1))-AVERAGE(OFFSET($H$3,0,0,'Données projet'!$E$13+1,1))</f>
        <v>156.63226020379989</v>
      </c>
      <c r="CZ101" s="59">
        <f t="shared" si="96"/>
        <v>196.0481096619543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1.3158777188654971</v>
      </c>
      <c r="DH101" s="21">
        <f>EXP(-LN(2)/2)*DH100+(1-EXP(-LN(2)/2))/(LN(2)/2)*DB101*DE101*VLOOKUP('Données projet'!$B$13,Paramètres!$A$1:$I$89,3,0)*0.475*44/12</f>
        <v>5.2814551175844643E-10</v>
      </c>
      <c r="DI101" s="22">
        <f t="shared" si="69"/>
        <v>1.3158777193936426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-8.5265128291212022E-14</v>
      </c>
      <c r="DP101" s="17">
        <f>DO101*VLOOKUP('Données projet'!$B$14,Paramètres!$A$1:$I$89,3,0)*VLOOKUP('Données projet'!$B$14,Paramètres!$A$1:$I$89,5,0)</f>
        <v>-7.7147888077888636E-14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225.28075317732998</v>
      </c>
      <c r="DU101" s="59">
        <f t="shared" si="98"/>
        <v>358.43407531256207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0.58354245603940291</v>
      </c>
      <c r="EB101" s="21">
        <f>EXP(-LN(2)/25)*EB100+(1-EXP(-LN(2)/25))/(LN(2)/25)*Calculateur!DW101*Calculateur!DY101*VLOOKUP('Données projet'!$B$14,Paramètres!$A$1:$I$89,3,0)*0.475*44/12</f>
        <v>1.2554861130445274</v>
      </c>
      <c r="EC101" s="21">
        <f>EXP(-LN(2)/2)*EC100+(1-EXP(-LN(2)/2))/(LN(2)/2)*DW101*DZ101*VLOOKUP('Données projet'!$B$14,Paramètres!$A$1:$I$89,3,0)*0.475*44/12</f>
        <v>2.5692984432503137E-10</v>
      </c>
      <c r="ED101" s="22">
        <f t="shared" si="72"/>
        <v>1.8390285693408601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-5.6843418860808015E-13</v>
      </c>
      <c r="EK101" s="17">
        <f>EJ101*VLOOKUP('Données projet'!$B$15,Paramètres!$A$1:$I$89,3,0)*VLOOKUP('Données projet'!$B$15,Paramètres!$A$1:$I$89,5,0)</f>
        <v>-3.177547114319168E-13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326.31232746914907</v>
      </c>
      <c r="EP101" s="59">
        <f t="shared" si="100"/>
        <v>330.17137761430297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1.1881262720991934</v>
      </c>
      <c r="EW101" s="21">
        <f>EXP(-LN(2)/25)*EW100+(1-EXP(-LN(2)/25))/(LN(2)/25)*Calculateur!ER101*Calculateur!ET101*VLOOKUP('Données projet'!$B$15,Paramètres!$A$1:$I$89,3,0)*0.475*44/12</f>
        <v>4.5794799293465571</v>
      </c>
      <c r="EX101" s="21">
        <f>EXP(-LN(2)/2)*EX100+(1-EXP(-LN(2)/2))/(LN(2)/2)*ER101*EU101*VLOOKUP('Données projet'!$B$15,Paramètres!$A$1:$I$89,3,0)*0.475*44/12</f>
        <v>1.8930346920641163E-9</v>
      </c>
      <c r="EY101" s="22">
        <f t="shared" si="75"/>
        <v>5.7676062033387856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255.41017495879987</v>
      </c>
      <c r="FK101" s="59">
        <f t="shared" si="102"/>
        <v>297.50513563712764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2.170277165102966</v>
      </c>
      <c r="FR101" s="21">
        <f>EXP(-LN(2)/25)*FR100+(1-EXP(-LN(2)/25))/(LN(2)/25)*Calculateur!FM101*Calculateur!FO101*VLOOKUP('Données projet'!$B$16,Paramètres!$A$1:$I$89,3,0)*0.475*44/12</f>
        <v>4.2299313502597515</v>
      </c>
      <c r="FS101" s="21">
        <f>EXP(-LN(2)/2)*FS100+(1-EXP(-LN(2)/2))/(LN(2)/2)*FM101*FP101*VLOOKUP('Données projet'!$B$16,Paramètres!$A$1:$I$89,3,0)*0.475*44/12</f>
        <v>1.420336259582073E-9</v>
      </c>
      <c r="FT101" s="22">
        <f t="shared" si="78"/>
        <v>6.4002085167830529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1.1368683772161603E-13</v>
      </c>
      <c r="GA101" s="17">
        <f>FZ101*VLOOKUP('Données projet'!$B$17,Paramètres!$A$1:$I$89,3,0)*VLOOKUP('Données projet'!$B$17,Paramètres!$A$1:$I$89,5,0)</f>
        <v>6.7984728957526396E-14</v>
      </c>
      <c r="GB101" s="13">
        <f t="shared" si="103"/>
        <v>1.0682447123141398E-12</v>
      </c>
      <c r="GC101" s="20">
        <f t="shared" si="79"/>
        <v>1.978932943548152E-12</v>
      </c>
      <c r="GD101" s="59">
        <f t="shared" si="80"/>
        <v>293.3333333333353</v>
      </c>
      <c r="GE101" s="59">
        <f ca="1">AVERAGE(OFFSET($GD$3,0,0,'Données projet'!$E$17+1,1))-AVERAGE(OFFSET($H$3,0,0,'Données projet'!$E$17+1,1))</f>
        <v>259.30247982593914</v>
      </c>
      <c r="GF101" s="59">
        <f t="shared" si="104"/>
        <v>275.24740346220779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</v>
      </c>
      <c r="GM101" s="21">
        <f>EXP(-LN(2)/25)*GM100+(1-EXP(-LN(2)/25))/(LN(2)/25)*Calculateur!GH101*Calculateur!GJ101*VLOOKUP('Données projet'!$B$17,Paramètres!$A$1:$I$89,3,0)*0.475*44/12</f>
        <v>2.7369490217101271</v>
      </c>
      <c r="GN101" s="21">
        <f>EXP(-LN(2)/2)*GN100+(1-EXP(-LN(2)/2))/(LN(2)/2)*GH101*GK101*VLOOKUP('Données projet'!$B$17,Paramètres!$A$1:$I$89,3,0)*0.475*44/12</f>
        <v>1.6694230831848129E-9</v>
      </c>
      <c r="GO101" s="21">
        <f t="shared" si="81"/>
        <v>2.7369490233795504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5.6843418860808015E-14</v>
      </c>
      <c r="GV101" s="17">
        <f>GU101*VLOOKUP('Données projet'!$B$18,Paramètres!$A$1:$I$89,3,0)*VLOOKUP('Données projet'!$B$18,Paramètres!$A$1:$I$89,5,0)</f>
        <v>4.5224624045658861E-14</v>
      </c>
      <c r="GW101" s="13">
        <f t="shared" si="105"/>
        <v>7.4514601661523691E-13</v>
      </c>
      <c r="GX101" s="20">
        <f t="shared" si="82"/>
        <v>1.3765621991510601E-12</v>
      </c>
      <c r="GY101" s="59">
        <f t="shared" si="83"/>
        <v>293.33333333333468</v>
      </c>
      <c r="GZ101" s="59">
        <f ca="1">AVERAGE(OFFSET($GY$3,0,0,'Données projet'!$E$18+1,1))-AVERAGE(OFFSET($H$3,0,0,'Données projet'!$E$18+1,1))</f>
        <v>199.58763537752952</v>
      </c>
      <c r="HA101" s="59">
        <f t="shared" si="106"/>
        <v>242.62852778451929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0</v>
      </c>
      <c r="HH101" s="21">
        <f>EXP(-LN(2)/25)*HH100+(1-EXP(-LN(2)/25))/(LN(2)/25)*Calculateur!HC101*Calculateur!HE101*VLOOKUP('Données projet'!$B$18,Paramètres!$A$1:$I$89,3,0)*0.475*44/12</f>
        <v>1.5606921781893097</v>
      </c>
      <c r="HI101" s="21">
        <f>EXP(-LN(2)/2)*HI100+(1-EXP(-LN(2)/2))/(LN(2)/2)*HC101*HF101*VLOOKUP('Données projet'!$B$18,Paramètres!$A$1:$I$89,3,0)*0.475*44/12</f>
        <v>6.2640514185304171E-10</v>
      </c>
      <c r="HJ101" s="22">
        <f t="shared" si="84"/>
        <v>1.5606921788157149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298.10000000000025</v>
      </c>
      <c r="O102" s="13">
        <f>N102*VLOOKUP('Données projet'!$B$9,Paramètres!$A$1:$I$89,3,0)*VLOOKUP('Données projet'!$B$9,Paramètres!$A$1:$I$89,5,0)</f>
        <v>269.72088000000025</v>
      </c>
      <c r="P102" s="13">
        <f t="shared" si="87"/>
        <v>64.790029413947011</v>
      </c>
      <c r="Q102" s="20">
        <f t="shared" si="107"/>
        <v>582.60650056262477</v>
      </c>
      <c r="R102" s="59">
        <f t="shared" si="55"/>
        <v>875.93983389595815</v>
      </c>
      <c r="S102" s="59">
        <f ca="1">AVERAGE(OFFSET($R$3,0,0,'Données projet'!$E$9+1,1))-AVERAGE(OFFSET($H$3,0,0,'Données projet'!$E$9+1,1))</f>
        <v>237.22177246688199</v>
      </c>
      <c r="T102" s="59">
        <f t="shared" si="88"/>
        <v>149.27472147904302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0.45851127357055427</v>
      </c>
      <c r="AB102" s="21">
        <f>EXP(-LN(2)/2)*AB101+(1-EXP(-LN(2)/2))/(LN(2)/2)*V102*Y102*VLOOKUP('Données projet'!$B$9,Paramètres!$A$1:$I$89,3,0)*0.475*44/12</f>
        <v>2.5474756484552923E-10</v>
      </c>
      <c r="AC102" s="22">
        <f t="shared" si="57"/>
        <v>0.45851127382530182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298.10000000000025</v>
      </c>
      <c r="AJ102" s="13">
        <f>AI102*VLOOKUP('Données projet'!$B$10,Paramètres!$A$1:$I$89,3,0)*VLOOKUP('Données projet'!$B$10,Paramètres!$A$1:$I$89,5,0)</f>
        <v>302.27340000000027</v>
      </c>
      <c r="AK102" s="13">
        <f t="shared" si="89"/>
        <v>71.652845832409795</v>
      </c>
      <c r="AL102" s="20">
        <f t="shared" si="58"/>
        <v>651.25487815811414</v>
      </c>
      <c r="AM102" s="59">
        <f t="shared" si="59"/>
        <v>944.58821149144751</v>
      </c>
      <c r="AN102" s="59">
        <f ca="1">AVERAGE(OFFSET($AM$3,0,0,'Données projet'!$E$10+1,1))-AVERAGE(OFFSET($H$3,0,0,'Données projet'!$E$10+1,1))</f>
        <v>279.20364724206644</v>
      </c>
      <c r="AO102" s="59">
        <f t="shared" si="90"/>
        <v>173.99850582760712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0.51384884107044848</v>
      </c>
      <c r="AW102" s="21">
        <f>EXP(-LN(2)/2)*AW101+(1-EXP(-LN(2)/2))/(LN(2)/2)*AQ102*AT102*VLOOKUP('Données projet'!$B$10,Paramètres!$A$1:$I$89,3,0)*0.475*44/12</f>
        <v>2.8549296060274823E-10</v>
      </c>
      <c r="AX102" s="21">
        <f t="shared" si="60"/>
        <v>0.51384884135594144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18.5</v>
      </c>
      <c r="BD102" s="12">
        <f>IF('Données projet'!$A$88&gt;35,BD101+BC102-BL101,IF(A102&lt;'Données projet'!$A$88,$BA$205^A102,IF(A102='Données projet'!$A$88,'Données projet'!$B$88,BD101+BC102-BL101)))</f>
        <v>707.69999999999993</v>
      </c>
      <c r="BE102" s="13">
        <f>BD102*VLOOKUP('Données projet'!$B$11,Paramètres!$A$1:$I$89,3,0)*VLOOKUP('Données projet'!$B$11,Paramètres!$A$1:$I$89,5,0)</f>
        <v>331.20359999999994</v>
      </c>
      <c r="BF102" s="13">
        <f t="shared" si="91"/>
        <v>77.67979126195354</v>
      </c>
      <c r="BG102" s="20">
        <f t="shared" si="61"/>
        <v>712.13857311456889</v>
      </c>
      <c r="BH102" s="59">
        <f t="shared" si="62"/>
        <v>1005.4719064479023</v>
      </c>
      <c r="BI102" s="59">
        <f ca="1">AVERAGE(OFFSET($BH$3,0,0,'Données projet'!$E$11+1,1))-AVERAGE(OFFSET($H$3,0,0,'Données projet'!$E$11+1,1))</f>
        <v>215.23235148064941</v>
      </c>
      <c r="BJ102" s="59">
        <f t="shared" si="92"/>
        <v>184.07239726900434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0.79931956967978746</v>
      </c>
      <c r="BQ102" s="21">
        <f>EXP(-LN(2)/25)*BQ101+(1-EXP(-LN(2)/25))/(LN(2)/25)*Calculateur!BL102*Calculateur!BN102*VLOOKUP('Données projet'!$B$11,Paramètres!$A$1:$I$89,3,0)*0.475*44/12</f>
        <v>1.1596557192734085</v>
      </c>
      <c r="BR102" s="21">
        <f>EXP(-LN(2)/2)*BR101+(1-EXP(-LN(2)/2))/(LN(2)/2)*BL102*BO102*VLOOKUP('Données projet'!$B$11,Paramètres!$A$1:$I$89,3,0)*0.475*44/12</f>
        <v>4.0468286391348677E-10</v>
      </c>
      <c r="BS102" s="22">
        <f t="shared" si="63"/>
        <v>1.9589752893578789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4.9000000000000004</v>
      </c>
      <c r="BY102" s="12">
        <f>IF('Données projet'!$A$114&gt;35,BY101+BX102-CG101,IF(A102&lt;'Données projet'!$A$114,$BV$205^A102,IF(A102='Données projet'!$A$114,'Données projet'!$B$114,BY101+BX102-CG101)))</f>
        <v>298.10000000000025</v>
      </c>
      <c r="BZ102" s="13">
        <f>BY102*VLOOKUP('Données projet'!$B$12,Paramètres!$A$1:$I$89,3,0)*VLOOKUP('Données projet'!$B$12,Paramètres!$A$1:$I$89,5,0)</f>
        <v>320.87484000000029</v>
      </c>
      <c r="CA102" s="13">
        <f t="shared" si="93"/>
        <v>75.535352205297713</v>
      </c>
      <c r="CB102" s="20">
        <f t="shared" si="64"/>
        <v>690.41441809089395</v>
      </c>
      <c r="CC102" s="59">
        <f t="shared" si="65"/>
        <v>983.74775142422732</v>
      </c>
      <c r="CD102" s="59">
        <f ca="1">AVERAGE(OFFSET($CC$3,0,0,'Données projet'!$E$12+1,1))-AVERAGE(OFFSET($H$3,0,0,'Données projet'!$E$12+1,1))</f>
        <v>303.1504619632214</v>
      </c>
      <c r="CE102" s="59">
        <f t="shared" si="94"/>
        <v>188.09929616366503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0.54547030821324571</v>
      </c>
      <c r="CM102" s="21">
        <f>EXP(-LN(2)/2)*CM101+(1-EXP(-LN(2)/2))/(LN(2)/2)*CG102*CJ102*VLOOKUP('Données projet'!$B$12,Paramètres!$A$1:$I$89,3,0)*0.475*44/12</f>
        <v>3.0306175817830253E-10</v>
      </c>
      <c r="CN102" s="22">
        <f t="shared" si="66"/>
        <v>0.54547030851630751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5.6843418860808015E-14</v>
      </c>
      <c r="CU102" s="17">
        <f>CT102*VLOOKUP('Données projet'!$B$13,Paramètres!$A$1:$I$89,3,0)*VLOOKUP('Données projet'!$B$13,Paramètres!$A$1:$I$89,5,0)</f>
        <v>3.813056537183002E-14</v>
      </c>
      <c r="CV102" s="13">
        <f t="shared" si="95"/>
        <v>6.4086286045526829E-13</v>
      </c>
      <c r="CW102" s="20">
        <f t="shared" si="67"/>
        <v>1.1825802166488628E-12</v>
      </c>
      <c r="CX102" s="59">
        <f t="shared" si="68"/>
        <v>293.33333333333451</v>
      </c>
      <c r="CY102" s="59">
        <f ca="1">AVERAGE(OFFSET($CX$3,0,0,'Données projet'!$E$13+1,1))-AVERAGE(OFFSET($H$3,0,0,'Données projet'!$E$13+1,1))</f>
        <v>156.63226020379989</v>
      </c>
      <c r="CZ102" s="59">
        <f t="shared" si="96"/>
        <v>196.0481096619543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1.2798949734441183</v>
      </c>
      <c r="DH102" s="21">
        <f>EXP(-LN(2)/2)*DH101+(1-EXP(-LN(2)/2))/(LN(2)/2)*DB102*DE102*VLOOKUP('Données projet'!$B$13,Paramètres!$A$1:$I$89,3,0)*0.475*44/12</f>
        <v>3.7345527281763694E-10</v>
      </c>
      <c r="DI102" s="22">
        <f t="shared" si="69"/>
        <v>1.2798949738175736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-8.5265128291212022E-14</v>
      </c>
      <c r="DP102" s="17">
        <f>DO102*VLOOKUP('Données projet'!$B$14,Paramètres!$A$1:$I$89,3,0)*VLOOKUP('Données projet'!$B$14,Paramètres!$A$1:$I$89,5,0)</f>
        <v>-7.7147888077888636E-14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225.28075317732998</v>
      </c>
      <c r="DU102" s="59">
        <f t="shared" si="98"/>
        <v>358.43407531256207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0.57209954440222366</v>
      </c>
      <c r="EB102" s="21">
        <f>EXP(-LN(2)/25)*EB101+(1-EXP(-LN(2)/25))/(LN(2)/25)*Calculateur!DW102*Calculateur!DY102*VLOOKUP('Données projet'!$B$14,Paramètres!$A$1:$I$89,3,0)*0.475*44/12</f>
        <v>1.2211547792601796</v>
      </c>
      <c r="EC102" s="21">
        <f>EXP(-LN(2)/2)*EC101+(1-EXP(-LN(2)/2))/(LN(2)/2)*DW102*DZ102*VLOOKUP('Données projet'!$B$14,Paramètres!$A$1:$I$89,3,0)*0.475*44/12</f>
        <v>1.8167683521143367E-10</v>
      </c>
      <c r="ED102" s="22">
        <f t="shared" si="72"/>
        <v>1.7932543238440801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-5.6843418860808015E-13</v>
      </c>
      <c r="EK102" s="17">
        <f>EJ102*VLOOKUP('Données projet'!$B$15,Paramètres!$A$1:$I$89,3,0)*VLOOKUP('Données projet'!$B$15,Paramètres!$A$1:$I$89,5,0)</f>
        <v>-3.177547114319168E-13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326.31232746914907</v>
      </c>
      <c r="EP102" s="59">
        <f t="shared" si="100"/>
        <v>330.17137761430297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1.1648278405887975</v>
      </c>
      <c r="EW102" s="21">
        <f>EXP(-LN(2)/25)*EW101+(1-EXP(-LN(2)/25))/(LN(2)/25)*Calculateur!ER102*Calculateur!ET102*VLOOKUP('Données projet'!$B$15,Paramètres!$A$1:$I$89,3,0)*0.475*44/12</f>
        <v>4.4542538098541922</v>
      </c>
      <c r="EX102" s="21">
        <f>EXP(-LN(2)/2)*EX101+(1-EXP(-LN(2)/2))/(LN(2)/2)*ER102*EU102*VLOOKUP('Données projet'!$B$15,Paramètres!$A$1:$I$89,3,0)*0.475*44/12</f>
        <v>1.3385776677799245E-9</v>
      </c>
      <c r="EY102" s="22">
        <f t="shared" si="75"/>
        <v>5.6190816517815669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255.41017495879987</v>
      </c>
      <c r="FK102" s="59">
        <f t="shared" si="102"/>
        <v>297.50513563712764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2.1277193536336592</v>
      </c>
      <c r="FR102" s="21">
        <f>EXP(-LN(2)/25)*FR101+(1-EXP(-LN(2)/25))/(LN(2)/25)*Calculateur!FM102*Calculateur!FO102*VLOOKUP('Données projet'!$B$16,Paramètres!$A$1:$I$89,3,0)*0.475*44/12</f>
        <v>4.1142636550444767</v>
      </c>
      <c r="FS102" s="21">
        <f>EXP(-LN(2)/2)*FS101+(1-EXP(-LN(2)/2))/(LN(2)/2)*FM102*FP102*VLOOKUP('Données projet'!$B$16,Paramètres!$A$1:$I$89,3,0)*0.475*44/12</f>
        <v>1.0043294007156202E-9</v>
      </c>
      <c r="FT102" s="22">
        <f t="shared" si="78"/>
        <v>6.2419830096824649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1.1368683772161603E-13</v>
      </c>
      <c r="GA102" s="17">
        <f>FZ102*VLOOKUP('Données projet'!$B$17,Paramètres!$A$1:$I$89,3,0)*VLOOKUP('Données projet'!$B$17,Paramètres!$A$1:$I$89,5,0)</f>
        <v>6.7984728957526396E-14</v>
      </c>
      <c r="GB102" s="13">
        <f t="shared" si="103"/>
        <v>1.0682447123141398E-12</v>
      </c>
      <c r="GC102" s="20">
        <f t="shared" si="79"/>
        <v>1.978932943548152E-12</v>
      </c>
      <c r="GD102" s="59">
        <f t="shared" si="80"/>
        <v>293.3333333333353</v>
      </c>
      <c r="GE102" s="59">
        <f ca="1">AVERAGE(OFFSET($GD$3,0,0,'Données projet'!$E$17+1,1))-AVERAGE(OFFSET($H$3,0,0,'Données projet'!$E$17+1,1))</f>
        <v>259.30247982593914</v>
      </c>
      <c r="GF102" s="59">
        <f t="shared" si="104"/>
        <v>275.24740346220779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</v>
      </c>
      <c r="GM102" s="21">
        <f>EXP(-LN(2)/25)*GM101+(1-EXP(-LN(2)/25))/(LN(2)/25)*Calculateur!GH102*Calculateur!GJ102*VLOOKUP('Données projet'!$B$17,Paramètres!$A$1:$I$89,3,0)*0.475*44/12</f>
        <v>2.6621070067815702</v>
      </c>
      <c r="GN102" s="21">
        <f>EXP(-LN(2)/2)*GN101+(1-EXP(-LN(2)/2))/(LN(2)/2)*GH102*GK102*VLOOKUP('Données projet'!$B$17,Paramètres!$A$1:$I$89,3,0)*0.475*44/12</f>
        <v>1.180460382789335E-9</v>
      </c>
      <c r="GO102" s="21">
        <f t="shared" si="81"/>
        <v>2.6621070079620304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5.6843418860808015E-14</v>
      </c>
      <c r="GV102" s="17">
        <f>GU102*VLOOKUP('Données projet'!$B$18,Paramètres!$A$1:$I$89,3,0)*VLOOKUP('Données projet'!$B$18,Paramètres!$A$1:$I$89,5,0)</f>
        <v>4.5224624045658861E-14</v>
      </c>
      <c r="GW102" s="13">
        <f t="shared" si="105"/>
        <v>7.4514601661523691E-13</v>
      </c>
      <c r="GX102" s="20">
        <f t="shared" si="82"/>
        <v>1.3765621991510601E-12</v>
      </c>
      <c r="GY102" s="59">
        <f t="shared" si="83"/>
        <v>293.33333333333468</v>
      </c>
      <c r="GZ102" s="59">
        <f ca="1">AVERAGE(OFFSET($GY$3,0,0,'Données projet'!$E$18+1,1))-AVERAGE(OFFSET($H$3,0,0,'Données projet'!$E$18+1,1))</f>
        <v>199.58763537752952</v>
      </c>
      <c r="HA102" s="59">
        <f t="shared" si="106"/>
        <v>242.62852778451929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0</v>
      </c>
      <c r="HH102" s="21">
        <f>EXP(-LN(2)/25)*HH101+(1-EXP(-LN(2)/25))/(LN(2)/25)*Calculateur!HC102*Calculateur!HE102*VLOOKUP('Données projet'!$B$18,Paramètres!$A$1:$I$89,3,0)*0.475*44/12</f>
        <v>1.5180149685034885</v>
      </c>
      <c r="HI102" s="21">
        <f>EXP(-LN(2)/2)*HI101+(1-EXP(-LN(2)/2))/(LN(2)/2)*HC102*HF102*VLOOKUP('Données projet'!$B$18,Paramètres!$A$1:$I$89,3,0)*0.475*44/12</f>
        <v>4.4293532357440703E-10</v>
      </c>
      <c r="HJ102" s="22">
        <f t="shared" si="84"/>
        <v>1.5180149689464237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303.00000000000023</v>
      </c>
      <c r="O103" s="13">
        <f>N103*VLOOKUP('Données projet'!$B$9,Paramètres!$A$1:$I$89,3,0)*VLOOKUP('Données projet'!$B$9,Paramètres!$A$1:$I$89,5,0)</f>
        <v>274.15440000000018</v>
      </c>
      <c r="P103" s="13">
        <f t="shared" si="87"/>
        <v>65.730152764515836</v>
      </c>
      <c r="Q103" s="20">
        <f t="shared" si="107"/>
        <v>591.96559606486528</v>
      </c>
      <c r="R103" s="59">
        <f t="shared" si="55"/>
        <v>885.29892939819865</v>
      </c>
      <c r="S103" s="59">
        <f ca="1">AVERAGE(OFFSET($R$3,0,0,'Données projet'!$E$9+1,1))-AVERAGE(OFFSET($H$3,0,0,'Données projet'!$E$9+1,1))</f>
        <v>237.22177246688199</v>
      </c>
      <c r="T103" s="59">
        <f t="shared" si="88"/>
        <v>149.27472147904302</v>
      </c>
      <c r="U103" s="15">
        <f>IF(ISNA(VLOOKUP(A103,'Données projet'!$A$35:$I$55,3,0)),0,VLOOKUP(A103,'Données projet'!$A$35:$I$55,3,0))</f>
        <v>8</v>
      </c>
      <c r="V103" s="15">
        <f>IF(ISNA(VLOOKUP(A103,'Données projet'!$A$35:$I$55,4,0)),0,VLOOKUP(A103,'Données projet'!$A$35:$I$55,4,0))</f>
        <v>42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0.44597325868270754</v>
      </c>
      <c r="AB103" s="21">
        <f>EXP(-LN(2)/2)*AB102+(1-EXP(-LN(2)/2))/(LN(2)/2)*V103*Y103*VLOOKUP('Données projet'!$B$9,Paramètres!$A$1:$I$89,3,0)*0.475*44/12</f>
        <v>1.8013373059303346E-10</v>
      </c>
      <c r="AC103" s="22">
        <f t="shared" si="57"/>
        <v>0.44597325886284128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303.00000000000023</v>
      </c>
      <c r="AJ103" s="13">
        <f>AI103*VLOOKUP('Données projet'!$B$10,Paramètres!$A$1:$I$89,3,0)*VLOOKUP('Données projet'!$B$10,Paramètres!$A$1:$I$89,5,0)</f>
        <v>307.24200000000025</v>
      </c>
      <c r="AK103" s="13">
        <f t="shared" si="89"/>
        <v>72.692550770207845</v>
      </c>
      <c r="AL103" s="20">
        <f t="shared" si="58"/>
        <v>661.71934259144575</v>
      </c>
      <c r="AM103" s="59">
        <f t="shared" si="59"/>
        <v>955.05267592477912</v>
      </c>
      <c r="AN103" s="59">
        <f ca="1">AVERAGE(OFFSET($AM$3,0,0,'Données projet'!$E$10+1,1))-AVERAGE(OFFSET($H$3,0,0,'Données projet'!$E$10+1,1))</f>
        <v>279.20364724206644</v>
      </c>
      <c r="AO103" s="59">
        <f t="shared" si="90"/>
        <v>173.99850582760712</v>
      </c>
      <c r="AP103" s="15">
        <f>IF(ISNA(VLOOKUP(A103,'Données projet'!$A$61:$I$81,3,0)),0,VLOOKUP(A103,'Données projet'!$A$61:$I$81,3,0))</f>
        <v>8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0.49979761748924095</v>
      </c>
      <c r="AW103" s="21">
        <f>EXP(-LN(2)/2)*AW102+(1-EXP(-LN(2)/2))/(LN(2)/2)*AQ103*AT103*VLOOKUP('Données projet'!$B$10,Paramètres!$A$1:$I$89,3,0)*0.475*44/12</f>
        <v>2.0187400842322713E-10</v>
      </c>
      <c r="AX103" s="21">
        <f t="shared" si="60"/>
        <v>0.49979761769111497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726.2</v>
      </c>
      <c r="BB103" s="12">
        <f>VLOOKUP(A103,'Données projet'!$A$87:$I$107,9,0)</f>
        <v>18.5</v>
      </c>
      <c r="BC103" s="12">
        <f t="array" ref="BC103">INDEX(BB:BB,MIN(IF(ISNUMBER(BB103:BB299),ROW(BB103:BB299),"")))</f>
        <v>18.5</v>
      </c>
      <c r="BD103" s="12">
        <f>IF('Données projet'!$A$88&gt;35,BD102+BC103-BL102,IF(A103&lt;'Données projet'!$A$88,$BA$205^A103,IF(A103='Données projet'!$A$88,'Données projet'!$B$88,BD102+BC103-BL102)))</f>
        <v>726.19999999999993</v>
      </c>
      <c r="BE103" s="13">
        <f>BD103*VLOOKUP('Données projet'!$B$11,Paramètres!$A$1:$I$89,3,0)*VLOOKUP('Données projet'!$B$11,Paramètres!$A$1:$I$89,5,0)</f>
        <v>339.86159999999995</v>
      </c>
      <c r="BF103" s="13">
        <f t="shared" si="91"/>
        <v>79.47135142801136</v>
      </c>
      <c r="BG103" s="20">
        <f t="shared" si="61"/>
        <v>730.33822373711973</v>
      </c>
      <c r="BH103" s="59">
        <f t="shared" si="62"/>
        <v>1023.671557070453</v>
      </c>
      <c r="BI103" s="59">
        <f ca="1">AVERAGE(OFFSET($BH$3,0,0,'Données projet'!$E$11+1,1))-AVERAGE(OFFSET($H$3,0,0,'Données projet'!$E$11+1,1))</f>
        <v>215.23235148064941</v>
      </c>
      <c r="BJ103" s="59">
        <f t="shared" si="92"/>
        <v>184.07239726900434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726.2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0.78364540045516407</v>
      </c>
      <c r="BQ103" s="21">
        <f>EXP(-LN(2)/25)*BQ102+(1-EXP(-LN(2)/25))/(LN(2)/25)*Calculateur!BL103*Calculateur!BN103*VLOOKUP('Données projet'!$B$11,Paramètres!$A$1:$I$89,3,0)*0.475*44/12</f>
        <v>1.1279448726462333</v>
      </c>
      <c r="BR103" s="21">
        <f>EXP(-LN(2)/2)*BR102+(1-EXP(-LN(2)/2))/(LN(2)/2)*BL103*BO103*VLOOKUP('Données projet'!$B$11,Paramètres!$A$1:$I$89,3,0)*0.475*44/12</f>
        <v>2.8615399730321928E-10</v>
      </c>
      <c r="BS103" s="22">
        <f t="shared" si="63"/>
        <v>1.9115902733875514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303</v>
      </c>
      <c r="BW103" s="12">
        <f>VLOOKUP(A103,'Données projet'!$A$113:$I$133,9,0)</f>
        <v>4.9000000000000004</v>
      </c>
      <c r="BX103" s="12">
        <f t="array" ref="BX103">INDEX(BW:BW,MIN(IF(ISNUMBER(BW103:BW299),ROW(BW103:BW299),"")))</f>
        <v>4.9000000000000004</v>
      </c>
      <c r="BY103" s="12">
        <f>IF('Données projet'!$A$114&gt;35,BY102+BX103-CG102,IF(A103&lt;'Données projet'!$A$114,$BV$205^A103,IF(A103='Données projet'!$A$114,'Données projet'!$B$114,BY102+BX103-CG102)))</f>
        <v>303.00000000000023</v>
      </c>
      <c r="BZ103" s="13">
        <f>BY103*VLOOKUP('Données projet'!$B$12,Paramètres!$A$1:$I$89,3,0)*VLOOKUP('Données projet'!$B$12,Paramètres!$A$1:$I$89,5,0)</f>
        <v>326.14920000000023</v>
      </c>
      <c r="CA103" s="13">
        <f t="shared" si="93"/>
        <v>76.631393510479697</v>
      </c>
      <c r="CB103" s="20">
        <f t="shared" si="64"/>
        <v>701.50953369741922</v>
      </c>
      <c r="CC103" s="59">
        <f t="shared" si="65"/>
        <v>994.84286703075259</v>
      </c>
      <c r="CD103" s="59">
        <f ca="1">AVERAGE(OFFSET($CC$3,0,0,'Données projet'!$E$12+1,1))-AVERAGE(OFFSET($H$3,0,0,'Données projet'!$E$12+1,1))</f>
        <v>303.1504619632214</v>
      </c>
      <c r="CE103" s="59">
        <f t="shared" si="94"/>
        <v>188.09929616366503</v>
      </c>
      <c r="CF103" s="15">
        <f>IF(ISNA(VLOOKUP(A103,'Données projet'!$A$113:$I$133,3,0)),0,VLOOKUP(A103,'Données projet'!$A$113:$I$133,3,0))</f>
        <v>8</v>
      </c>
      <c r="CG103" s="15">
        <f>IF(ISNA(VLOOKUP(A103,'Données projet'!$A$113:$I$133,4,0)),0,VLOOKUP(A103,'Données projet'!$A$113:$I$133,4,0))</f>
        <v>42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0.53055439395011772</v>
      </c>
      <c r="CM103" s="21">
        <f>EXP(-LN(2)/2)*CM102+(1-EXP(-LN(2)/2))/(LN(2)/2)*CG103*CJ103*VLOOKUP('Données projet'!$B$12,Paramètres!$A$1:$I$89,3,0)*0.475*44/12</f>
        <v>2.1429702432619535E-10</v>
      </c>
      <c r="CN103" s="22">
        <f t="shared" si="66"/>
        <v>0.53055439416441474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5.6843418860808015E-14</v>
      </c>
      <c r="CU103" s="17">
        <f>CT103*VLOOKUP('Données projet'!$B$13,Paramètres!$A$1:$I$89,3,0)*VLOOKUP('Données projet'!$B$13,Paramètres!$A$1:$I$89,5,0)</f>
        <v>3.813056537183002E-14</v>
      </c>
      <c r="CV103" s="13">
        <f t="shared" si="95"/>
        <v>6.4086286045526829E-13</v>
      </c>
      <c r="CW103" s="20">
        <f t="shared" si="67"/>
        <v>1.1825802166488628E-12</v>
      </c>
      <c r="CX103" s="59">
        <f t="shared" si="68"/>
        <v>293.33333333333451</v>
      </c>
      <c r="CY103" s="59">
        <f ca="1">AVERAGE(OFFSET($CX$3,0,0,'Données projet'!$E$13+1,1))-AVERAGE(OFFSET($H$3,0,0,'Données projet'!$E$13+1,1))</f>
        <v>156.63226020379989</v>
      </c>
      <c r="CZ103" s="59">
        <f t="shared" si="96"/>
        <v>196.0481096619543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1.2448961780885375</v>
      </c>
      <c r="DH103" s="21">
        <f>EXP(-LN(2)/2)*DH102+(1-EXP(-LN(2)/2))/(LN(2)/2)*DB103*DE103*VLOOKUP('Données projet'!$B$13,Paramètres!$A$1:$I$89,3,0)*0.475*44/12</f>
        <v>2.6407275587922322E-10</v>
      </c>
      <c r="DI103" s="22">
        <f t="shared" si="69"/>
        <v>1.2448961783526102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-8.5265128291212022E-14</v>
      </c>
      <c r="DP103" s="17">
        <f>DO103*VLOOKUP('Données projet'!$B$14,Paramètres!$A$1:$I$89,3,0)*VLOOKUP('Données projet'!$B$14,Paramètres!$A$1:$I$89,5,0)</f>
        <v>-7.7147888077888636E-14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225.28075317732998</v>
      </c>
      <c r="DU103" s="59">
        <f t="shared" si="98"/>
        <v>358.43407531256207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0.56088102128276252</v>
      </c>
      <c r="EB103" s="21">
        <f>EXP(-LN(2)/25)*EB102+(1-EXP(-LN(2)/25))/(LN(2)/25)*Calculateur!DW103*Calculateur!DY103*VLOOKUP('Données projet'!$B$14,Paramètres!$A$1:$I$89,3,0)*0.475*44/12</f>
        <v>1.187762237603571</v>
      </c>
      <c r="EC103" s="21">
        <f>EXP(-LN(2)/2)*EC102+(1-EXP(-LN(2)/2))/(LN(2)/2)*DW103*DZ103*VLOOKUP('Données projet'!$B$14,Paramètres!$A$1:$I$89,3,0)*0.475*44/12</f>
        <v>1.2846492216251568E-10</v>
      </c>
      <c r="ED103" s="22">
        <f t="shared" si="72"/>
        <v>1.7486432590147987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-5.6843418860808015E-13</v>
      </c>
      <c r="EK103" s="17">
        <f>EJ103*VLOOKUP('Données projet'!$B$15,Paramètres!$A$1:$I$89,3,0)*VLOOKUP('Données projet'!$B$15,Paramètres!$A$1:$I$89,5,0)</f>
        <v>-3.177547114319168E-13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326.31232746914907</v>
      </c>
      <c r="EP103" s="59">
        <f t="shared" si="100"/>
        <v>330.17137761430297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1.1419862771096805</v>
      </c>
      <c r="EW103" s="21">
        <f>EXP(-LN(2)/25)*EW102+(1-EXP(-LN(2)/25))/(LN(2)/25)*Calculateur!ER103*Calculateur!ET103*VLOOKUP('Données projet'!$B$15,Paramètres!$A$1:$I$89,3,0)*0.475*44/12</f>
        <v>4.3324520051847015</v>
      </c>
      <c r="EX103" s="21">
        <f>EXP(-LN(2)/2)*EX102+(1-EXP(-LN(2)/2))/(LN(2)/2)*ER103*EU103*VLOOKUP('Données projet'!$B$15,Paramètres!$A$1:$I$89,3,0)*0.475*44/12</f>
        <v>9.4651734603205817E-10</v>
      </c>
      <c r="EY103" s="22">
        <f t="shared" si="75"/>
        <v>5.4744382832408993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255.41017495879987</v>
      </c>
      <c r="FK103" s="59">
        <f t="shared" si="102"/>
        <v>297.50513563712764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2.0859960748895636</v>
      </c>
      <c r="FR103" s="21">
        <f>EXP(-LN(2)/25)*FR102+(1-EXP(-LN(2)/25))/(LN(2)/25)*Calculateur!FM103*Calculateur!FO103*VLOOKUP('Données projet'!$B$16,Paramètres!$A$1:$I$89,3,0)*0.475*44/12</f>
        <v>4.0017588990375632</v>
      </c>
      <c r="FS103" s="21">
        <f>EXP(-LN(2)/2)*FS102+(1-EXP(-LN(2)/2))/(LN(2)/2)*FM103*FP103*VLOOKUP('Données projet'!$B$16,Paramètres!$A$1:$I$89,3,0)*0.475*44/12</f>
        <v>7.1016812979103648E-10</v>
      </c>
      <c r="FT103" s="22">
        <f t="shared" si="78"/>
        <v>6.0877549746372948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1.1368683772161603E-13</v>
      </c>
      <c r="GA103" s="17">
        <f>FZ103*VLOOKUP('Données projet'!$B$17,Paramètres!$A$1:$I$89,3,0)*VLOOKUP('Données projet'!$B$17,Paramètres!$A$1:$I$89,5,0)</f>
        <v>6.7984728957526396E-14</v>
      </c>
      <c r="GB103" s="13">
        <f t="shared" si="103"/>
        <v>1.0682447123141398E-12</v>
      </c>
      <c r="GC103" s="20">
        <f t="shared" si="79"/>
        <v>1.978932943548152E-12</v>
      </c>
      <c r="GD103" s="59">
        <f t="shared" si="80"/>
        <v>293.3333333333353</v>
      </c>
      <c r="GE103" s="59">
        <f ca="1">AVERAGE(OFFSET($GD$3,0,0,'Données projet'!$E$17+1,1))-AVERAGE(OFFSET($H$3,0,0,'Données projet'!$E$17+1,1))</f>
        <v>259.30247982593914</v>
      </c>
      <c r="GF103" s="59">
        <f t="shared" si="104"/>
        <v>275.24740346220779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</v>
      </c>
      <c r="GM103" s="21">
        <f>EXP(-LN(2)/25)*GM102+(1-EXP(-LN(2)/25))/(LN(2)/25)*Calculateur!GH103*Calculateur!GJ103*VLOOKUP('Données projet'!$B$17,Paramètres!$A$1:$I$89,3,0)*0.475*44/12</f>
        <v>2.5893115506870048</v>
      </c>
      <c r="GN103" s="21">
        <f>EXP(-LN(2)/2)*GN102+(1-EXP(-LN(2)/2))/(LN(2)/2)*GH103*GK103*VLOOKUP('Données projet'!$B$17,Paramètres!$A$1:$I$89,3,0)*0.475*44/12</f>
        <v>8.3471154159240647E-10</v>
      </c>
      <c r="GO103" s="21">
        <f t="shared" si="81"/>
        <v>2.5893115515217162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5.6843418860808015E-14</v>
      </c>
      <c r="GV103" s="17">
        <f>GU103*VLOOKUP('Données projet'!$B$18,Paramètres!$A$1:$I$89,3,0)*VLOOKUP('Données projet'!$B$18,Paramètres!$A$1:$I$89,5,0)</f>
        <v>4.5224624045658861E-14</v>
      </c>
      <c r="GW103" s="13">
        <f t="shared" si="105"/>
        <v>7.4514601661523691E-13</v>
      </c>
      <c r="GX103" s="20">
        <f t="shared" si="82"/>
        <v>1.3765621991510601E-12</v>
      </c>
      <c r="GY103" s="59">
        <f t="shared" si="83"/>
        <v>293.33333333333468</v>
      </c>
      <c r="GZ103" s="59">
        <f ca="1">AVERAGE(OFFSET($GY$3,0,0,'Données projet'!$E$18+1,1))-AVERAGE(OFFSET($H$3,0,0,'Données projet'!$E$18+1,1))</f>
        <v>199.58763537752952</v>
      </c>
      <c r="HA103" s="59">
        <f t="shared" si="106"/>
        <v>242.62852778451929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0</v>
      </c>
      <c r="HH103" s="21">
        <f>EXP(-LN(2)/25)*HH102+(1-EXP(-LN(2)/25))/(LN(2)/25)*Calculateur!HC103*Calculateur!HE103*VLOOKUP('Données projet'!$B$18,Paramètres!$A$1:$I$89,3,0)*0.475*44/12</f>
        <v>1.4765047693608229</v>
      </c>
      <c r="HI103" s="21">
        <f>EXP(-LN(2)/2)*HI102+(1-EXP(-LN(2)/2))/(LN(2)/2)*HC103*HF103*VLOOKUP('Données projet'!$B$18,Paramètres!$A$1:$I$89,3,0)*0.475*44/12</f>
        <v>3.1320257092652085E-10</v>
      </c>
      <c r="HJ103" s="22">
        <f t="shared" si="84"/>
        <v>1.4765047696740254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4.4000000000000004</v>
      </c>
      <c r="N104" s="13">
        <f>IF('Données projet'!$A$36&gt;35,N103+M104-V103,IF(A104&lt;'Données projet'!$A$36,$K$205^A104,IF(A104='Données projet'!$A$36,'Données projet'!$B$36,N103+M104-V103)))</f>
        <v>265.4000000000002</v>
      </c>
      <c r="O104" s="13">
        <f>N104*VLOOKUP('Données projet'!$B$9,Paramètres!$A$1:$I$89,3,0)*VLOOKUP('Données projet'!$B$9,Paramètres!$A$1:$I$89,5,0)</f>
        <v>240.13392000000016</v>
      </c>
      <c r="P104" s="13">
        <f t="shared" si="87"/>
        <v>58.468343087048616</v>
      </c>
      <c r="Q104" s="20">
        <f t="shared" si="107"/>
        <v>520.06560820994321</v>
      </c>
      <c r="R104" s="59">
        <f t="shared" si="55"/>
        <v>813.39894154327658</v>
      </c>
      <c r="S104" s="59">
        <f ca="1">AVERAGE(OFFSET($R$3,0,0,'Données projet'!$E$9+1,1))-AVERAGE(OFFSET($H$3,0,0,'Données projet'!$E$9+1,1))</f>
        <v>237.22177246688199</v>
      </c>
      <c r="T104" s="59">
        <f t="shared" si="88"/>
        <v>149.27472147904302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0.43377809647131449</v>
      </c>
      <c r="AB104" s="21">
        <f>EXP(-LN(2)/2)*AB103+(1-EXP(-LN(2)/2))/(LN(2)/2)*V104*Y104*VLOOKUP('Données projet'!$B$9,Paramètres!$A$1:$I$89,3,0)*0.475*44/12</f>
        <v>1.2737378242276461E-10</v>
      </c>
      <c r="AC104" s="22">
        <f t="shared" si="57"/>
        <v>0.43377809659868827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4.4000000000000004</v>
      </c>
      <c r="AI104" s="13">
        <f>IF('Données projet'!$A$62&gt;35,AI103+AH104-AQ103,IF(A104&lt;'Données projet'!$A$62,$AF$205^A104,IF(A104='Données projet'!$A$62,'Données projet'!$B$62,AI103+AH104-AQ103)))</f>
        <v>265.4000000000002</v>
      </c>
      <c r="AJ104" s="13">
        <f>AI104*VLOOKUP('Données projet'!$B$10,Paramètres!$A$1:$I$89,3,0)*VLOOKUP('Données projet'!$B$10,Paramètres!$A$1:$I$89,5,0)</f>
        <v>269.1156000000002</v>
      </c>
      <c r="AK104" s="13">
        <f t="shared" si="89"/>
        <v>64.66154146228719</v>
      </c>
      <c r="AL104" s="20">
        <f t="shared" si="58"/>
        <v>581.32852138015051</v>
      </c>
      <c r="AM104" s="59">
        <f t="shared" si="59"/>
        <v>874.66185471348376</v>
      </c>
      <c r="AN104" s="59">
        <f ca="1">AVERAGE(OFFSET($AM$3,0,0,'Données projet'!$E$10+1,1))-AVERAGE(OFFSET($H$3,0,0,'Données projet'!$E$10+1,1))</f>
        <v>279.20364724206644</v>
      </c>
      <c r="AO104" s="59">
        <f t="shared" si="90"/>
        <v>173.99850582760712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0.48613062535578327</v>
      </c>
      <c r="AW104" s="21">
        <f>EXP(-LN(2)/2)*AW103+(1-EXP(-LN(2)/2))/(LN(2)/2)*AQ104*AT104*VLOOKUP('Données projet'!$B$10,Paramètres!$A$1:$I$89,3,0)*0.475*44/12</f>
        <v>1.4274648030137411E-10</v>
      </c>
      <c r="AX104" s="21">
        <f t="shared" si="60"/>
        <v>0.48613062549852976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-5.3205440053716299E-14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215.23235148064941</v>
      </c>
      <c r="BJ104" s="59">
        <f t="shared" si="92"/>
        <v>184.07239726900434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0.76827859212873628</v>
      </c>
      <c r="BQ104" s="21">
        <f>EXP(-LN(2)/25)*BQ103+(1-EXP(-LN(2)/25))/(LN(2)/25)*Calculateur!BL104*Calculateur!BN104*VLOOKUP('Données projet'!$B$11,Paramètres!$A$1:$I$89,3,0)*0.475*44/12</f>
        <v>1.0971011607876793</v>
      </c>
      <c r="BR104" s="21">
        <f>EXP(-LN(2)/2)*BR103+(1-EXP(-LN(2)/2))/(LN(2)/2)*BL104*BO104*VLOOKUP('Données projet'!$B$11,Paramètres!$A$1:$I$89,3,0)*0.475*44/12</f>
        <v>2.0234143195674339E-10</v>
      </c>
      <c r="BS104" s="22">
        <f t="shared" si="63"/>
        <v>1.865379753118757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4.4000000000000004</v>
      </c>
      <c r="BY104" s="12">
        <f>IF('Données projet'!$A$114&gt;35,BY103+BX104-CG103,IF(A104&lt;'Données projet'!$A$114,$BV$205^A104,IF(A104='Données projet'!$A$114,'Données projet'!$B$114,BY103+BX104-CG103)))</f>
        <v>265.4000000000002</v>
      </c>
      <c r="BZ104" s="13">
        <f>BY104*VLOOKUP('Données projet'!$B$12,Paramètres!$A$1:$I$89,3,0)*VLOOKUP('Données projet'!$B$12,Paramètres!$A$1:$I$89,5,0)</f>
        <v>285.67656000000022</v>
      </c>
      <c r="CA104" s="13">
        <f t="shared" si="93"/>
        <v>68.16522430825907</v>
      </c>
      <c r="CB104" s="20">
        <f t="shared" si="64"/>
        <v>616.2744410035516</v>
      </c>
      <c r="CC104" s="59">
        <f t="shared" si="65"/>
        <v>909.60777433688486</v>
      </c>
      <c r="CD104" s="59">
        <f ca="1">AVERAGE(OFFSET($CC$3,0,0,'Données projet'!$E$12+1,1))-AVERAGE(OFFSET($H$3,0,0,'Données projet'!$E$12+1,1))</f>
        <v>303.1504619632214</v>
      </c>
      <c r="CE104" s="59">
        <f t="shared" si="94"/>
        <v>188.09929616366503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0.51604635614690875</v>
      </c>
      <c r="CM104" s="21">
        <f>EXP(-LN(2)/2)*CM103+(1-EXP(-LN(2)/2))/(LN(2)/2)*CG104*CJ104*VLOOKUP('Données projet'!$B$12,Paramètres!$A$1:$I$89,3,0)*0.475*44/12</f>
        <v>1.5153087908915127E-10</v>
      </c>
      <c r="CN104" s="22">
        <f t="shared" si="66"/>
        <v>0.51604635629843965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5.6843418860808015E-14</v>
      </c>
      <c r="CU104" s="17">
        <f>CT104*VLOOKUP('Données projet'!$B$13,Paramètres!$A$1:$I$89,3,0)*VLOOKUP('Données projet'!$B$13,Paramètres!$A$1:$I$89,5,0)</f>
        <v>3.813056537183002E-14</v>
      </c>
      <c r="CV104" s="13">
        <f t="shared" si="95"/>
        <v>6.4086286045526829E-13</v>
      </c>
      <c r="CW104" s="20">
        <f t="shared" si="67"/>
        <v>1.1825802166488628E-12</v>
      </c>
      <c r="CX104" s="59">
        <f t="shared" si="68"/>
        <v>293.33333333333451</v>
      </c>
      <c r="CY104" s="59">
        <f ca="1">AVERAGE(OFFSET($CX$3,0,0,'Données projet'!$E$13+1,1))-AVERAGE(OFFSET($H$3,0,0,'Données projet'!$E$13+1,1))</f>
        <v>156.63226020379989</v>
      </c>
      <c r="CZ104" s="59">
        <f t="shared" si="96"/>
        <v>196.0481096619543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1.2108544266324617</v>
      </c>
      <c r="DH104" s="21">
        <f>EXP(-LN(2)/2)*DH103+(1-EXP(-LN(2)/2))/(LN(2)/2)*DB104*DE104*VLOOKUP('Données projet'!$B$13,Paramètres!$A$1:$I$89,3,0)*0.475*44/12</f>
        <v>1.8672763640881847E-10</v>
      </c>
      <c r="DI104" s="22">
        <f t="shared" si="69"/>
        <v>1.2108544268191894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-8.5265128291212022E-14</v>
      </c>
      <c r="DP104" s="17">
        <f>DO104*VLOOKUP('Données projet'!$B$14,Paramètres!$A$1:$I$89,3,0)*VLOOKUP('Données projet'!$B$14,Paramètres!$A$1:$I$89,5,0)</f>
        <v>-7.7147888077888636E-14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225.28075317732998</v>
      </c>
      <c r="DU104" s="59">
        <f t="shared" si="98"/>
        <v>358.43407531256207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0.54988248655905059</v>
      </c>
      <c r="EB104" s="21">
        <f>EXP(-LN(2)/25)*EB103+(1-EXP(-LN(2)/25))/(LN(2)/25)*Calculateur!DW104*Calculateur!DY104*VLOOKUP('Données projet'!$B$14,Paramètres!$A$1:$I$89,3,0)*0.475*44/12</f>
        <v>1.1552828167545999</v>
      </c>
      <c r="EC104" s="21">
        <f>EXP(-LN(2)/2)*EC103+(1-EXP(-LN(2)/2))/(LN(2)/2)*DW104*DZ104*VLOOKUP('Données projet'!$B$14,Paramètres!$A$1:$I$89,3,0)*0.475*44/12</f>
        <v>9.0838417605716837E-11</v>
      </c>
      <c r="ED104" s="22">
        <f t="shared" si="72"/>
        <v>1.7051653034044889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-5.6843418860808015E-13</v>
      </c>
      <c r="EK104" s="17">
        <f>EJ104*VLOOKUP('Données projet'!$B$15,Paramètres!$A$1:$I$89,3,0)*VLOOKUP('Données projet'!$B$15,Paramètres!$A$1:$I$89,5,0)</f>
        <v>-3.177547114319168E-13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326.31232746914907</v>
      </c>
      <c r="EP104" s="59">
        <f t="shared" si="100"/>
        <v>330.17137761430297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1.1195926227584108</v>
      </c>
      <c r="EW104" s="21">
        <f>EXP(-LN(2)/25)*EW103+(1-EXP(-LN(2)/25))/(LN(2)/25)*Calculateur!ER104*Calculateur!ET104*VLOOKUP('Données projet'!$B$15,Paramètres!$A$1:$I$89,3,0)*0.475*44/12</f>
        <v>4.2139808772691767</v>
      </c>
      <c r="EX104" s="21">
        <f>EXP(-LN(2)/2)*EX103+(1-EXP(-LN(2)/2))/(LN(2)/2)*ER104*EU104*VLOOKUP('Données projet'!$B$15,Paramètres!$A$1:$I$89,3,0)*0.475*44/12</f>
        <v>6.6928883388996224E-10</v>
      </c>
      <c r="EY104" s="22">
        <f t="shared" si="75"/>
        <v>5.3335735006968763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255.41017495879987</v>
      </c>
      <c r="FK104" s="59">
        <f t="shared" si="102"/>
        <v>297.50513563712764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2.0450909641929527</v>
      </c>
      <c r="FR104" s="21">
        <f>EXP(-LN(2)/25)*FR103+(1-EXP(-LN(2)/25))/(LN(2)/25)*Calculateur!FM104*Calculateur!FO104*VLOOKUP('Données projet'!$B$16,Paramètres!$A$1:$I$89,3,0)*0.475*44/12</f>
        <v>3.8923305915000266</v>
      </c>
      <c r="FS104" s="21">
        <f>EXP(-LN(2)/2)*FS103+(1-EXP(-LN(2)/2))/(LN(2)/2)*FM104*FP104*VLOOKUP('Données projet'!$B$16,Paramètres!$A$1:$I$89,3,0)*0.475*44/12</f>
        <v>5.0216470035781011E-10</v>
      </c>
      <c r="FT104" s="22">
        <f t="shared" si="78"/>
        <v>5.9374215561951438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1.1368683772161603E-13</v>
      </c>
      <c r="GA104" s="17">
        <f>FZ104*VLOOKUP('Données projet'!$B$17,Paramètres!$A$1:$I$89,3,0)*VLOOKUP('Données projet'!$B$17,Paramètres!$A$1:$I$89,5,0)</f>
        <v>6.7984728957526396E-14</v>
      </c>
      <c r="GB104" s="13">
        <f t="shared" si="103"/>
        <v>1.0682447123141398E-12</v>
      </c>
      <c r="GC104" s="20">
        <f t="shared" si="79"/>
        <v>1.978932943548152E-12</v>
      </c>
      <c r="GD104" s="59">
        <f t="shared" si="80"/>
        <v>293.3333333333353</v>
      </c>
      <c r="GE104" s="59">
        <f ca="1">AVERAGE(OFFSET($GD$3,0,0,'Données projet'!$E$17+1,1))-AVERAGE(OFFSET($H$3,0,0,'Données projet'!$E$17+1,1))</f>
        <v>259.30247982593914</v>
      </c>
      <c r="GF104" s="59">
        <f t="shared" si="104"/>
        <v>275.24740346220779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</v>
      </c>
      <c r="GM104" s="21">
        <f>EXP(-LN(2)/25)*GM103+(1-EXP(-LN(2)/25))/(LN(2)/25)*Calculateur!GH104*Calculateur!GJ104*VLOOKUP('Données projet'!$B$17,Paramètres!$A$1:$I$89,3,0)*0.475*44/12</f>
        <v>2.518506690167492</v>
      </c>
      <c r="GN104" s="21">
        <f>EXP(-LN(2)/2)*GN103+(1-EXP(-LN(2)/2))/(LN(2)/2)*GH104*GK104*VLOOKUP('Données projet'!$B$17,Paramètres!$A$1:$I$89,3,0)*0.475*44/12</f>
        <v>5.9023019139466752E-10</v>
      </c>
      <c r="GO104" s="21">
        <f t="shared" si="81"/>
        <v>2.518506690757722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5.6843418860808015E-14</v>
      </c>
      <c r="GV104" s="17">
        <f>GU104*VLOOKUP('Données projet'!$B$18,Paramètres!$A$1:$I$89,3,0)*VLOOKUP('Données projet'!$B$18,Paramètres!$A$1:$I$89,5,0)</f>
        <v>4.5224624045658861E-14</v>
      </c>
      <c r="GW104" s="13">
        <f t="shared" si="105"/>
        <v>7.4514601661523691E-13</v>
      </c>
      <c r="GX104" s="20">
        <f t="shared" si="82"/>
        <v>1.3765621991510601E-12</v>
      </c>
      <c r="GY104" s="59">
        <f t="shared" si="83"/>
        <v>293.33333333333468</v>
      </c>
      <c r="GZ104" s="59">
        <f ca="1">AVERAGE(OFFSET($GY$3,0,0,'Données projet'!$E$18+1,1))-AVERAGE(OFFSET($H$3,0,0,'Données projet'!$E$18+1,1))</f>
        <v>199.58763537752952</v>
      </c>
      <c r="HA104" s="59">
        <f t="shared" si="106"/>
        <v>242.62852778451929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0</v>
      </c>
      <c r="HH104" s="21">
        <f>EXP(-LN(2)/25)*HH103+(1-EXP(-LN(2)/25))/(LN(2)/25)*Calculateur!HC104*Calculateur!HE104*VLOOKUP('Données projet'!$B$18,Paramètres!$A$1:$I$89,3,0)*0.475*44/12</f>
        <v>1.4361296687966398</v>
      </c>
      <c r="HI104" s="21">
        <f>EXP(-LN(2)/2)*HI103+(1-EXP(-LN(2)/2))/(LN(2)/2)*HC104*HF104*VLOOKUP('Données projet'!$B$18,Paramètres!$A$1:$I$89,3,0)*0.475*44/12</f>
        <v>2.2146766178720352E-10</v>
      </c>
      <c r="HJ104" s="22">
        <f t="shared" si="84"/>
        <v>1.4361296690181076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4.4000000000000004</v>
      </c>
      <c r="N105" s="13">
        <f>IF('Données projet'!$A$36&gt;35,N104+M105-V104,IF(A105&lt;'Données projet'!$A$36,$K$205^A105,IF(A105='Données projet'!$A$36,'Données projet'!$B$36,N104+M105-V104)))</f>
        <v>269.80000000000018</v>
      </c>
      <c r="O105" s="13">
        <f>N105*VLOOKUP('Données projet'!$B$9,Paramètres!$A$1:$I$89,3,0)*VLOOKUP('Données projet'!$B$9,Paramètres!$A$1:$I$89,5,0)</f>
        <v>244.11504000000016</v>
      </c>
      <c r="P105" s="13">
        <f t="shared" si="87"/>
        <v>59.324023461759062</v>
      </c>
      <c r="Q105" s="20">
        <f t="shared" si="107"/>
        <v>528.48970219589739</v>
      </c>
      <c r="R105" s="59">
        <f t="shared" si="55"/>
        <v>821.82303552923076</v>
      </c>
      <c r="S105" s="59">
        <f ca="1">AVERAGE(OFFSET($R$3,0,0,'Données projet'!$E$9+1,1))-AVERAGE(OFFSET($H$3,0,0,'Données projet'!$E$9+1,1))</f>
        <v>237.22177246688199</v>
      </c>
      <c r="T105" s="59">
        <f t="shared" si="88"/>
        <v>149.27472147904302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0.42191641161190774</v>
      </c>
      <c r="AB105" s="21">
        <f>EXP(-LN(2)/2)*AB104+(1-EXP(-LN(2)/2))/(LN(2)/2)*V105*Y105*VLOOKUP('Données projet'!$B$9,Paramètres!$A$1:$I$89,3,0)*0.475*44/12</f>
        <v>9.0066865296516732E-11</v>
      </c>
      <c r="AC105" s="22">
        <f t="shared" si="57"/>
        <v>0.42191641170197458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4.4000000000000004</v>
      </c>
      <c r="AI105" s="13">
        <f>IF('Données projet'!$A$62&gt;35,AI104+AH105-AQ104,IF(A105&lt;'Données projet'!$A$62,$AF$205^A105,IF(A105='Données projet'!$A$62,'Données projet'!$B$62,AI104+AH105-AQ104)))</f>
        <v>269.80000000000018</v>
      </c>
      <c r="AJ105" s="13">
        <f>AI105*VLOOKUP('Données projet'!$B$10,Paramètres!$A$1:$I$89,3,0)*VLOOKUP('Données projet'!$B$10,Paramètres!$A$1:$I$89,5,0)</f>
        <v>273.57720000000018</v>
      </c>
      <c r="AK105" s="13">
        <f t="shared" si="89"/>
        <v>65.607858889915107</v>
      </c>
      <c r="AL105" s="20">
        <f t="shared" si="58"/>
        <v>590.74731089993577</v>
      </c>
      <c r="AM105" s="59">
        <f t="shared" si="59"/>
        <v>884.08064423326914</v>
      </c>
      <c r="AN105" s="59">
        <f ca="1">AVERAGE(OFFSET($AM$3,0,0,'Données projet'!$E$10+1,1))-AVERAGE(OFFSET($H$3,0,0,'Données projet'!$E$10+1,1))</f>
        <v>279.20364724206644</v>
      </c>
      <c r="AO105" s="59">
        <f t="shared" si="90"/>
        <v>173.99850582760712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0.47283735784093084</v>
      </c>
      <c r="AW105" s="21">
        <f>EXP(-LN(2)/2)*AW104+(1-EXP(-LN(2)/2))/(LN(2)/2)*AQ105*AT105*VLOOKUP('Données projet'!$B$10,Paramètres!$A$1:$I$89,3,0)*0.475*44/12</f>
        <v>1.0093700421161356E-10</v>
      </c>
      <c r="AX105" s="21">
        <f t="shared" si="60"/>
        <v>0.47283735794186782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-5.3205440053716299E-14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215.23235148064941</v>
      </c>
      <c r="BJ105" s="59">
        <f t="shared" si="92"/>
        <v>184.07239726900434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0.75321311754076214</v>
      </c>
      <c r="BQ105" s="21">
        <f>EXP(-LN(2)/25)*BQ104+(1-EXP(-LN(2)/25))/(LN(2)/25)*Calculateur!BL105*Calculateur!BN105*VLOOKUP('Données projet'!$B$11,Paramètres!$A$1:$I$89,3,0)*0.475*44/12</f>
        <v>1.0671008718518975</v>
      </c>
      <c r="BR105" s="21">
        <f>EXP(-LN(2)/2)*BR104+(1-EXP(-LN(2)/2))/(LN(2)/2)*BL105*BO105*VLOOKUP('Données projet'!$B$11,Paramètres!$A$1:$I$89,3,0)*0.475*44/12</f>
        <v>1.4307699865160964E-10</v>
      </c>
      <c r="BS105" s="22">
        <f t="shared" si="63"/>
        <v>1.8203139895357368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4.4000000000000004</v>
      </c>
      <c r="BY105" s="12">
        <f>IF('Données projet'!$A$114&gt;35,BY104+BX105-CG104,IF(A105&lt;'Données projet'!$A$114,$BV$205^A105,IF(A105='Données projet'!$A$114,'Données projet'!$B$114,BY104+BX105-CG104)))</f>
        <v>269.80000000000018</v>
      </c>
      <c r="BZ105" s="13">
        <f>BY105*VLOOKUP('Données projet'!$B$12,Paramètres!$A$1:$I$89,3,0)*VLOOKUP('Données projet'!$B$12,Paramètres!$A$1:$I$89,5,0)</f>
        <v>290.41272000000021</v>
      </c>
      <c r="CA105" s="13">
        <f t="shared" si="93"/>
        <v>69.162817905044847</v>
      </c>
      <c r="CB105" s="20">
        <f t="shared" si="64"/>
        <v>626.26072851795345</v>
      </c>
      <c r="CC105" s="59">
        <f t="shared" si="65"/>
        <v>919.59406185128682</v>
      </c>
      <c r="CD105" s="59">
        <f ca="1">AVERAGE(OFFSET($CC$3,0,0,'Données projet'!$E$12+1,1))-AVERAGE(OFFSET($H$3,0,0,'Données projet'!$E$12+1,1))</f>
        <v>303.1504619632214</v>
      </c>
      <c r="CE105" s="59">
        <f t="shared" si="94"/>
        <v>188.09929616366503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0.50193504140037315</v>
      </c>
      <c r="CM105" s="21">
        <f>EXP(-LN(2)/2)*CM104+(1-EXP(-LN(2)/2))/(LN(2)/2)*CG105*CJ105*VLOOKUP('Données projet'!$B$12,Paramètres!$A$1:$I$89,3,0)*0.475*44/12</f>
        <v>1.0714851216309768E-10</v>
      </c>
      <c r="CN105" s="22">
        <f t="shared" si="66"/>
        <v>0.50193504150752166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5.6843418860808015E-14</v>
      </c>
      <c r="CU105" s="17">
        <f>CT105*VLOOKUP('Données projet'!$B$13,Paramètres!$A$1:$I$89,3,0)*VLOOKUP('Données projet'!$B$13,Paramètres!$A$1:$I$89,5,0)</f>
        <v>3.813056537183002E-14</v>
      </c>
      <c r="CV105" s="13">
        <f t="shared" si="95"/>
        <v>6.4086286045526829E-13</v>
      </c>
      <c r="CW105" s="20">
        <f t="shared" si="67"/>
        <v>1.1825802166488628E-12</v>
      </c>
      <c r="CX105" s="59">
        <f t="shared" si="68"/>
        <v>293.33333333333451</v>
      </c>
      <c r="CY105" s="59">
        <f ca="1">AVERAGE(OFFSET($CX$3,0,0,'Données projet'!$E$13+1,1))-AVERAGE(OFFSET($H$3,0,0,'Données projet'!$E$13+1,1))</f>
        <v>156.63226020379989</v>
      </c>
      <c r="CZ105" s="59">
        <f t="shared" si="96"/>
        <v>196.0481096619543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1.1777435486601302</v>
      </c>
      <c r="DH105" s="21">
        <f>EXP(-LN(2)/2)*DH104+(1-EXP(-LN(2)/2))/(LN(2)/2)*DB105*DE105*VLOOKUP('Données projet'!$B$13,Paramètres!$A$1:$I$89,3,0)*0.475*44/12</f>
        <v>1.3203637793961161E-10</v>
      </c>
      <c r="DI105" s="22">
        <f t="shared" si="69"/>
        <v>1.1777435487921666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-8.5265128291212022E-14</v>
      </c>
      <c r="DP105" s="17">
        <f>DO105*VLOOKUP('Données projet'!$B$14,Paramètres!$A$1:$I$89,3,0)*VLOOKUP('Données projet'!$B$14,Paramètres!$A$1:$I$89,5,0)</f>
        <v>-7.7147888077888636E-14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225.28075317732998</v>
      </c>
      <c r="DU105" s="59">
        <f t="shared" si="98"/>
        <v>358.43407531256207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0.53909962639282694</v>
      </c>
      <c r="EB105" s="21">
        <f>EXP(-LN(2)/25)*EB104+(1-EXP(-LN(2)/25))/(LN(2)/25)*Calculateur!DW105*Calculateur!DY105*VLOOKUP('Données projet'!$B$14,Paramètres!$A$1:$I$89,3,0)*0.475*44/12</f>
        <v>1.1236915473767624</v>
      </c>
      <c r="EC105" s="21">
        <f>EXP(-LN(2)/2)*EC104+(1-EXP(-LN(2)/2))/(LN(2)/2)*DW105*DZ105*VLOOKUP('Données projet'!$B$14,Paramètres!$A$1:$I$89,3,0)*0.475*44/12</f>
        <v>6.4232461081257842E-11</v>
      </c>
      <c r="ED105" s="22">
        <f t="shared" si="72"/>
        <v>1.6627911738338217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-5.6843418860808015E-13</v>
      </c>
      <c r="EK105" s="17">
        <f>EJ105*VLOOKUP('Données projet'!$B$15,Paramètres!$A$1:$I$89,3,0)*VLOOKUP('Données projet'!$B$15,Paramètres!$A$1:$I$89,5,0)</f>
        <v>-3.177547114319168E-13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326.31232746914907</v>
      </c>
      <c r="EP105" s="59">
        <f t="shared" si="100"/>
        <v>330.17137761430297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1.0976380943101891</v>
      </c>
      <c r="EW105" s="21">
        <f>EXP(-LN(2)/25)*EW104+(1-EXP(-LN(2)/25))/(LN(2)/25)*Calculateur!ER105*Calculateur!ET105*VLOOKUP('Données projet'!$B$15,Paramètres!$A$1:$I$89,3,0)*0.475*44/12</f>
        <v>4.0987493485766278</v>
      </c>
      <c r="EX105" s="21">
        <f>EXP(-LN(2)/2)*EX104+(1-EXP(-LN(2)/2))/(LN(2)/2)*ER105*EU105*VLOOKUP('Données projet'!$B$15,Paramètres!$A$1:$I$89,3,0)*0.475*44/12</f>
        <v>4.7325867301602909E-10</v>
      </c>
      <c r="EY105" s="22">
        <f t="shared" si="75"/>
        <v>5.1963874433600754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255.41017495879987</v>
      </c>
      <c r="FK105" s="59">
        <f t="shared" si="102"/>
        <v>297.50513563712764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2.0049879777674482</v>
      </c>
      <c r="FR105" s="21">
        <f>EXP(-LN(2)/25)*FR104+(1-EXP(-LN(2)/25))/(LN(2)/25)*Calculateur!FM105*Calculateur!FO105*VLOOKUP('Données projet'!$B$16,Paramètres!$A$1:$I$89,3,0)*0.475*44/12</f>
        <v>3.7858946067866888</v>
      </c>
      <c r="FS105" s="21">
        <f>EXP(-LN(2)/2)*FS104+(1-EXP(-LN(2)/2))/(LN(2)/2)*FM105*FP105*VLOOKUP('Données projet'!$B$16,Paramètres!$A$1:$I$89,3,0)*0.475*44/12</f>
        <v>3.5508406489551824E-10</v>
      </c>
      <c r="FT105" s="22">
        <f t="shared" si="78"/>
        <v>5.7908825849092205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1.1368683772161603E-13</v>
      </c>
      <c r="GA105" s="17">
        <f>FZ105*VLOOKUP('Données projet'!$B$17,Paramètres!$A$1:$I$89,3,0)*VLOOKUP('Données projet'!$B$17,Paramètres!$A$1:$I$89,5,0)</f>
        <v>6.7984728957526396E-14</v>
      </c>
      <c r="GB105" s="13">
        <f t="shared" si="103"/>
        <v>1.0682447123141398E-12</v>
      </c>
      <c r="GC105" s="20">
        <f t="shared" si="79"/>
        <v>1.978932943548152E-12</v>
      </c>
      <c r="GD105" s="59">
        <f t="shared" si="80"/>
        <v>293.3333333333353</v>
      </c>
      <c r="GE105" s="59">
        <f ca="1">AVERAGE(OFFSET($GD$3,0,0,'Données projet'!$E$17+1,1))-AVERAGE(OFFSET($H$3,0,0,'Données projet'!$E$17+1,1))</f>
        <v>259.30247982593914</v>
      </c>
      <c r="GF105" s="59">
        <f t="shared" si="104"/>
        <v>275.24740346220779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</v>
      </c>
      <c r="GM105" s="21">
        <f>EXP(-LN(2)/25)*GM104+(1-EXP(-LN(2)/25))/(LN(2)/25)*Calculateur!GH105*Calculateur!GJ105*VLOOKUP('Données projet'!$B$17,Paramètres!$A$1:$I$89,3,0)*0.475*44/12</f>
        <v>2.449637992282351</v>
      </c>
      <c r="GN105" s="21">
        <f>EXP(-LN(2)/2)*GN104+(1-EXP(-LN(2)/2))/(LN(2)/2)*GH105*GK105*VLOOKUP('Données projet'!$B$17,Paramètres!$A$1:$I$89,3,0)*0.475*44/12</f>
        <v>4.1735577079620324E-10</v>
      </c>
      <c r="GO105" s="21">
        <f t="shared" si="81"/>
        <v>2.4496379926997069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5.6843418860808015E-14</v>
      </c>
      <c r="GV105" s="17">
        <f>GU105*VLOOKUP('Données projet'!$B$18,Paramètres!$A$1:$I$89,3,0)*VLOOKUP('Données projet'!$B$18,Paramètres!$A$1:$I$89,5,0)</f>
        <v>4.5224624045658861E-14</v>
      </c>
      <c r="GW105" s="13">
        <f t="shared" si="105"/>
        <v>7.4514601661523691E-13</v>
      </c>
      <c r="GX105" s="20">
        <f t="shared" si="82"/>
        <v>1.3765621991510601E-12</v>
      </c>
      <c r="GY105" s="59">
        <f t="shared" si="83"/>
        <v>293.33333333333468</v>
      </c>
      <c r="GZ105" s="59">
        <f ca="1">AVERAGE(OFFSET($GY$3,0,0,'Données projet'!$E$18+1,1))-AVERAGE(OFFSET($H$3,0,0,'Données projet'!$E$18+1,1))</f>
        <v>199.58763537752952</v>
      </c>
      <c r="HA105" s="59">
        <f t="shared" si="106"/>
        <v>242.62852778451929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0</v>
      </c>
      <c r="HH105" s="21">
        <f>EXP(-LN(2)/25)*HH104+(1-EXP(-LN(2)/25))/(LN(2)/25)*Calculateur!HC105*Calculateur!HE105*VLOOKUP('Données projet'!$B$18,Paramètres!$A$1:$I$89,3,0)*0.475*44/12</f>
        <v>1.3968586274806187</v>
      </c>
      <c r="HI105" s="21">
        <f>EXP(-LN(2)/2)*HI104+(1-EXP(-LN(2)/2))/(LN(2)/2)*HC105*HF105*VLOOKUP('Données projet'!$B$18,Paramètres!$A$1:$I$89,3,0)*0.475*44/12</f>
        <v>1.5660128546326043E-10</v>
      </c>
      <c r="HJ105" s="22">
        <f t="shared" si="84"/>
        <v>1.3968586276372199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4.4000000000000004</v>
      </c>
      <c r="N106" s="13">
        <f>IF('Données projet'!$A$36&gt;35,N105+M106-V105,IF(A106&lt;'Données projet'!$A$36,$K$205^A106,IF(A106='Données projet'!$A$36,'Données projet'!$B$36,N105+M106-V105)))</f>
        <v>274.20000000000016</v>
      </c>
      <c r="O106" s="13">
        <f>N106*VLOOKUP('Données projet'!$B$9,Paramètres!$A$1:$I$89,3,0)*VLOOKUP('Données projet'!$B$9,Paramètres!$A$1:$I$89,5,0)</f>
        <v>248.09616000000014</v>
      </c>
      <c r="P106" s="13">
        <f t="shared" si="87"/>
        <v>60.178080967364686</v>
      </c>
      <c r="Q106" s="20">
        <f t="shared" si="107"/>
        <v>536.91096968482714</v>
      </c>
      <c r="R106" s="59">
        <f t="shared" si="55"/>
        <v>830.24430301816051</v>
      </c>
      <c r="S106" s="59">
        <f ca="1">AVERAGE(OFFSET($R$3,0,0,'Données projet'!$E$9+1,1))-AVERAGE(OFFSET($H$3,0,0,'Données projet'!$E$9+1,1))</f>
        <v>237.22177246688199</v>
      </c>
      <c r="T106" s="59">
        <f t="shared" si="88"/>
        <v>149.27472147904302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0.41037908514876031</v>
      </c>
      <c r="AB106" s="21">
        <f>EXP(-LN(2)/2)*AB105+(1-EXP(-LN(2)/2))/(LN(2)/2)*V106*Y106*VLOOKUP('Données projet'!$B$9,Paramètres!$A$1:$I$89,3,0)*0.475*44/12</f>
        <v>6.3686891211382306E-11</v>
      </c>
      <c r="AC106" s="22">
        <f t="shared" si="57"/>
        <v>0.4103790852124472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4.4000000000000004</v>
      </c>
      <c r="AI106" s="13">
        <f>IF('Données projet'!$A$62&gt;35,AI105+AH106-AQ105,IF(A106&lt;'Données projet'!$A$62,$AF$205^A106,IF(A106='Données projet'!$A$62,'Données projet'!$B$62,AI105+AH106-AQ105)))</f>
        <v>274.20000000000016</v>
      </c>
      <c r="AJ106" s="13">
        <f>AI106*VLOOKUP('Données projet'!$B$10,Paramètres!$A$1:$I$89,3,0)*VLOOKUP('Données projet'!$B$10,Paramètres!$A$1:$I$89,5,0)</f>
        <v>278.03880000000015</v>
      </c>
      <c r="AK106" s="13">
        <f t="shared" si="89"/>
        <v>66.5523815477178</v>
      </c>
      <c r="AL106" s="20">
        <f t="shared" si="58"/>
        <v>600.16297452894207</v>
      </c>
      <c r="AM106" s="59">
        <f t="shared" si="59"/>
        <v>893.49630786227544</v>
      </c>
      <c r="AN106" s="59">
        <f ca="1">AVERAGE(OFFSET($AM$3,0,0,'Données projet'!$E$10+1,1))-AVERAGE(OFFSET($H$3,0,0,'Données projet'!$E$10+1,1))</f>
        <v>279.20364724206644</v>
      </c>
      <c r="AO106" s="59">
        <f t="shared" si="90"/>
        <v>173.99850582760712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0.4599075954253346</v>
      </c>
      <c r="AW106" s="21">
        <f>EXP(-LN(2)/2)*AW105+(1-EXP(-LN(2)/2))/(LN(2)/2)*AQ106*AT106*VLOOKUP('Données projet'!$B$10,Paramètres!$A$1:$I$89,3,0)*0.475*44/12</f>
        <v>7.1373240150687057E-11</v>
      </c>
      <c r="AX106" s="21">
        <f t="shared" si="60"/>
        <v>0.45990759549670784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-5.3205440053716299E-14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215.23235148064941</v>
      </c>
      <c r="BJ106" s="59">
        <f t="shared" si="92"/>
        <v>184.07239726900434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0.73844306772042612</v>
      </c>
      <c r="BQ106" s="21">
        <f>EXP(-LN(2)/25)*BQ105+(1-EXP(-LN(2)/25))/(LN(2)/25)*Calculateur!BL106*Calculateur!BN106*VLOOKUP('Données projet'!$B$11,Paramètres!$A$1:$I$89,3,0)*0.475*44/12</f>
        <v>1.0379209423947113</v>
      </c>
      <c r="BR106" s="21">
        <f>EXP(-LN(2)/2)*BR105+(1-EXP(-LN(2)/2))/(LN(2)/2)*BL106*BO106*VLOOKUP('Données projet'!$B$11,Paramètres!$A$1:$I$89,3,0)*0.475*44/12</f>
        <v>1.0117071597837169E-10</v>
      </c>
      <c r="BS106" s="22">
        <f t="shared" si="63"/>
        <v>1.7763640102163081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4.4000000000000004</v>
      </c>
      <c r="BY106" s="12">
        <f>IF('Données projet'!$A$114&gt;35,BY105+BX106-CG105,IF(A106&lt;'Données projet'!$A$114,$BV$205^A106,IF(A106='Données projet'!$A$114,'Données projet'!$B$114,BY105+BX106-CG105)))</f>
        <v>274.20000000000016</v>
      </c>
      <c r="BZ106" s="13">
        <f>BY106*VLOOKUP('Données projet'!$B$12,Paramètres!$A$1:$I$89,3,0)*VLOOKUP('Données projet'!$B$12,Paramètres!$A$1:$I$89,5,0)</f>
        <v>295.14888000000013</v>
      </c>
      <c r="CA106" s="13">
        <f t="shared" si="93"/>
        <v>70.158519482479406</v>
      </c>
      <c r="CB106" s="20">
        <f t="shared" si="64"/>
        <v>636.24372076531847</v>
      </c>
      <c r="CC106" s="59">
        <f t="shared" si="65"/>
        <v>929.57705409865184</v>
      </c>
      <c r="CD106" s="59">
        <f ca="1">AVERAGE(OFFSET($CC$3,0,0,'Données projet'!$E$12+1,1))-AVERAGE(OFFSET($H$3,0,0,'Données projet'!$E$12+1,1))</f>
        <v>303.1504619632214</v>
      </c>
      <c r="CE106" s="59">
        <f t="shared" si="94"/>
        <v>188.09929616366503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0.48820960129766333</v>
      </c>
      <c r="CM106" s="21">
        <f>EXP(-LN(2)/2)*CM105+(1-EXP(-LN(2)/2))/(LN(2)/2)*CG106*CJ106*VLOOKUP('Données projet'!$B$12,Paramètres!$A$1:$I$89,3,0)*0.475*44/12</f>
        <v>7.5765439544575634E-11</v>
      </c>
      <c r="CN106" s="22">
        <f t="shared" si="66"/>
        <v>0.48820960137342878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5.6843418860808015E-14</v>
      </c>
      <c r="CU106" s="17">
        <f>CT106*VLOOKUP('Données projet'!$B$13,Paramètres!$A$1:$I$89,3,0)*VLOOKUP('Données projet'!$B$13,Paramètres!$A$1:$I$89,5,0)</f>
        <v>3.813056537183002E-14</v>
      </c>
      <c r="CV106" s="13">
        <f t="shared" si="95"/>
        <v>6.4086286045526829E-13</v>
      </c>
      <c r="CW106" s="20">
        <f t="shared" si="67"/>
        <v>1.1825802166488628E-12</v>
      </c>
      <c r="CX106" s="59">
        <f t="shared" si="68"/>
        <v>293.33333333333451</v>
      </c>
      <c r="CY106" s="59">
        <f ca="1">AVERAGE(OFFSET($CX$3,0,0,'Données projet'!$E$13+1,1))-AVERAGE(OFFSET($H$3,0,0,'Données projet'!$E$13+1,1))</f>
        <v>156.63226020379989</v>
      </c>
      <c r="CZ106" s="59">
        <f t="shared" si="96"/>
        <v>196.0481096619543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1.1455380893871774</v>
      </c>
      <c r="DH106" s="21">
        <f>EXP(-LN(2)/2)*DH105+(1-EXP(-LN(2)/2))/(LN(2)/2)*DB106*DE106*VLOOKUP('Données projet'!$B$13,Paramètres!$A$1:$I$89,3,0)*0.475*44/12</f>
        <v>9.3363818204409236E-11</v>
      </c>
      <c r="DI106" s="22">
        <f t="shared" si="69"/>
        <v>1.1455380894805411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-8.5265128291212022E-14</v>
      </c>
      <c r="DP106" s="17">
        <f>DO106*VLOOKUP('Données projet'!$B$14,Paramètres!$A$1:$I$89,3,0)*VLOOKUP('Données projet'!$B$14,Paramètres!$A$1:$I$89,5,0)</f>
        <v>-7.7147888077888636E-14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225.28075317732998</v>
      </c>
      <c r="DU106" s="59">
        <f t="shared" si="98"/>
        <v>358.43407531256207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0.52852821153756757</v>
      </c>
      <c r="EB106" s="21">
        <f>EXP(-LN(2)/25)*EB105+(1-EXP(-LN(2)/25))/(LN(2)/25)*Calculateur!DW106*Calculateur!DY106*VLOOKUP('Données projet'!$B$14,Paramètres!$A$1:$I$89,3,0)*0.475*44/12</f>
        <v>1.0929641429213746</v>
      </c>
      <c r="EC106" s="21">
        <f>EXP(-LN(2)/2)*EC105+(1-EXP(-LN(2)/2))/(LN(2)/2)*DW106*DZ106*VLOOKUP('Données projet'!$B$14,Paramètres!$A$1:$I$89,3,0)*0.475*44/12</f>
        <v>4.5419208802858418E-11</v>
      </c>
      <c r="ED106" s="22">
        <f t="shared" si="72"/>
        <v>1.6214923545043614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-5.6843418860808015E-13</v>
      </c>
      <c r="EK106" s="17">
        <f>EJ106*VLOOKUP('Données projet'!$B$15,Paramètres!$A$1:$I$89,3,0)*VLOOKUP('Données projet'!$B$15,Paramètres!$A$1:$I$89,5,0)</f>
        <v>-3.177547114319168E-13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326.31232746914907</v>
      </c>
      <c r="EP106" s="59">
        <f t="shared" si="100"/>
        <v>330.17137761430297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1.0761140807738969</v>
      </c>
      <c r="EW106" s="21">
        <f>EXP(-LN(2)/25)*EW105+(1-EXP(-LN(2)/25))/(LN(2)/25)*Calculateur!ER106*Calculateur!ET106*VLOOKUP('Données projet'!$B$15,Paramètres!$A$1:$I$89,3,0)*0.475*44/12</f>
        <v>3.9866688320959396</v>
      </c>
      <c r="EX106" s="21">
        <f>EXP(-LN(2)/2)*EX105+(1-EXP(-LN(2)/2))/(LN(2)/2)*ER106*EU106*VLOOKUP('Données projet'!$B$15,Paramètres!$A$1:$I$89,3,0)*0.475*44/12</f>
        <v>3.3464441694498112E-10</v>
      </c>
      <c r="EY106" s="22">
        <f t="shared" si="75"/>
        <v>5.0627829132044813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255.41017495879987</v>
      </c>
      <c r="FK106" s="59">
        <f t="shared" si="102"/>
        <v>297.50513563712764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1.9656713864453415</v>
      </c>
      <c r="FR106" s="21">
        <f>EXP(-LN(2)/25)*FR105+(1-EXP(-LN(2)/25))/(LN(2)/25)*Calculateur!FM106*Calculateur!FO106*VLOOKUP('Données projet'!$B$16,Paramètres!$A$1:$I$89,3,0)*0.475*44/12</f>
        <v>3.6823691196725621</v>
      </c>
      <c r="FS106" s="21">
        <f>EXP(-LN(2)/2)*FS105+(1-EXP(-LN(2)/2))/(LN(2)/2)*FM106*FP106*VLOOKUP('Données projet'!$B$16,Paramètres!$A$1:$I$89,3,0)*0.475*44/12</f>
        <v>2.5108235017890505E-10</v>
      </c>
      <c r="FT106" s="22">
        <f t="shared" si="78"/>
        <v>5.6480405063689858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1.1368683772161603E-13</v>
      </c>
      <c r="GA106" s="17">
        <f>FZ106*VLOOKUP('Données projet'!$B$17,Paramètres!$A$1:$I$89,3,0)*VLOOKUP('Données projet'!$B$17,Paramètres!$A$1:$I$89,5,0)</f>
        <v>6.7984728957526396E-14</v>
      </c>
      <c r="GB106" s="13">
        <f t="shared" si="103"/>
        <v>1.0682447123141398E-12</v>
      </c>
      <c r="GC106" s="20">
        <f t="shared" si="79"/>
        <v>1.978932943548152E-12</v>
      </c>
      <c r="GD106" s="59">
        <f t="shared" si="80"/>
        <v>293.3333333333353</v>
      </c>
      <c r="GE106" s="59">
        <f ca="1">AVERAGE(OFFSET($GD$3,0,0,'Données projet'!$E$17+1,1))-AVERAGE(OFFSET($H$3,0,0,'Données projet'!$E$17+1,1))</f>
        <v>259.30247982593914</v>
      </c>
      <c r="GF106" s="59">
        <f t="shared" si="104"/>
        <v>275.24740346220779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</v>
      </c>
      <c r="GM106" s="21">
        <f>EXP(-LN(2)/25)*GM105+(1-EXP(-LN(2)/25))/(LN(2)/25)*Calculateur!GH106*Calculateur!GJ106*VLOOKUP('Données projet'!$B$17,Paramètres!$A$1:$I$89,3,0)*0.475*44/12</f>
        <v>2.3826525125625269</v>
      </c>
      <c r="GN106" s="21">
        <f>EXP(-LN(2)/2)*GN105+(1-EXP(-LN(2)/2))/(LN(2)/2)*GH106*GK106*VLOOKUP('Données projet'!$B$17,Paramètres!$A$1:$I$89,3,0)*0.475*44/12</f>
        <v>2.9511509569733376E-10</v>
      </c>
      <c r="GO106" s="21">
        <f t="shared" si="81"/>
        <v>2.3826525128576419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5.6843418860808015E-14</v>
      </c>
      <c r="GV106" s="17">
        <f>GU106*VLOOKUP('Données projet'!$B$18,Paramètres!$A$1:$I$89,3,0)*VLOOKUP('Données projet'!$B$18,Paramètres!$A$1:$I$89,5,0)</f>
        <v>4.5224624045658861E-14</v>
      </c>
      <c r="GW106" s="13">
        <f t="shared" si="105"/>
        <v>7.4514601661523691E-13</v>
      </c>
      <c r="GX106" s="20">
        <f t="shared" si="82"/>
        <v>1.3765621991510601E-12</v>
      </c>
      <c r="GY106" s="59">
        <f t="shared" si="83"/>
        <v>293.33333333333468</v>
      </c>
      <c r="GZ106" s="59">
        <f ca="1">AVERAGE(OFFSET($GY$3,0,0,'Données projet'!$E$18+1,1))-AVERAGE(OFFSET($H$3,0,0,'Données projet'!$E$18+1,1))</f>
        <v>199.58763537752952</v>
      </c>
      <c r="HA106" s="59">
        <f t="shared" si="106"/>
        <v>242.62852778451929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0</v>
      </c>
      <c r="HH106" s="21">
        <f>EXP(-LN(2)/25)*HH105+(1-EXP(-LN(2)/25))/(LN(2)/25)*Calculateur!HC106*Calculateur!HE106*VLOOKUP('Données projet'!$B$18,Paramètres!$A$1:$I$89,3,0)*0.475*44/12</f>
        <v>1.3586614548545586</v>
      </c>
      <c r="HI106" s="21">
        <f>EXP(-LN(2)/2)*HI105+(1-EXP(-LN(2)/2))/(LN(2)/2)*HC106*HF106*VLOOKUP('Données projet'!$B$18,Paramètres!$A$1:$I$89,3,0)*0.475*44/12</f>
        <v>1.1073383089360176E-10</v>
      </c>
      <c r="HJ106" s="22">
        <f t="shared" si="84"/>
        <v>1.3586614549652924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4.4000000000000004</v>
      </c>
      <c r="N107" s="13">
        <f>IF('Données projet'!$A$36&gt;35,N106+M107-V106,IF(A107&lt;'Données projet'!$A$36,$K$205^A107,IF(A107='Données projet'!$A$36,'Données projet'!$B$36,N106+M107-V106)))</f>
        <v>278.60000000000014</v>
      </c>
      <c r="O107" s="13">
        <f>N107*VLOOKUP('Données projet'!$B$9,Paramètres!$A$1:$I$89,3,0)*VLOOKUP('Données projet'!$B$9,Paramètres!$A$1:$I$89,5,0)</f>
        <v>252.07728000000014</v>
      </c>
      <c r="P107" s="13">
        <f t="shared" si="87"/>
        <v>61.030544652155044</v>
      </c>
      <c r="Q107" s="20">
        <f t="shared" si="107"/>
        <v>545.32946126917022</v>
      </c>
      <c r="R107" s="59">
        <f t="shared" si="55"/>
        <v>838.66279460250348</v>
      </c>
      <c r="S107" s="59">
        <f ca="1">AVERAGE(OFFSET($R$3,0,0,'Données projet'!$E$9+1,1))-AVERAGE(OFFSET($H$3,0,0,'Données projet'!$E$9+1,1))</f>
        <v>237.22177246688199</v>
      </c>
      <c r="T107" s="59">
        <f t="shared" si="88"/>
        <v>149.27472147904302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0.39915724748446929</v>
      </c>
      <c r="AB107" s="21">
        <f>EXP(-LN(2)/2)*AB106+(1-EXP(-LN(2)/2))/(LN(2)/2)*V107*Y107*VLOOKUP('Données projet'!$B$9,Paramètres!$A$1:$I$89,3,0)*0.475*44/12</f>
        <v>4.5033432648258366E-11</v>
      </c>
      <c r="AC107" s="22">
        <f t="shared" si="57"/>
        <v>0.39915724752950271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4.4000000000000004</v>
      </c>
      <c r="AI107" s="13">
        <f>IF('Données projet'!$A$62&gt;35,AI106+AH107-AQ106,IF(A107&lt;'Données projet'!$A$62,$AF$205^A107,IF(A107='Données projet'!$A$62,'Données projet'!$B$62,AI106+AH107-AQ106)))</f>
        <v>278.60000000000014</v>
      </c>
      <c r="AJ107" s="13">
        <f>AI107*VLOOKUP('Données projet'!$B$10,Paramètres!$A$1:$I$89,3,0)*VLOOKUP('Données projet'!$B$10,Paramètres!$A$1:$I$89,5,0)</f>
        <v>282.50040000000013</v>
      </c>
      <c r="AK107" s="13">
        <f t="shared" si="89"/>
        <v>67.495141560894439</v>
      </c>
      <c r="AL107" s="20">
        <f t="shared" si="58"/>
        <v>609.57556821855803</v>
      </c>
      <c r="AM107" s="59">
        <f t="shared" si="59"/>
        <v>902.9089015518914</v>
      </c>
      <c r="AN107" s="59">
        <f ca="1">AVERAGE(OFFSET($AM$3,0,0,'Données projet'!$E$10+1,1))-AVERAGE(OFFSET($H$3,0,0,'Données projet'!$E$10+1,1))</f>
        <v>279.20364724206644</v>
      </c>
      <c r="AO107" s="59">
        <f t="shared" si="90"/>
        <v>173.99850582760712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0.44733139804293953</v>
      </c>
      <c r="AW107" s="21">
        <f>EXP(-LN(2)/2)*AW106+(1-EXP(-LN(2)/2))/(LN(2)/2)*AQ107*AT107*VLOOKUP('Données projet'!$B$10,Paramètres!$A$1:$I$89,3,0)*0.475*44/12</f>
        <v>5.0468502105806781E-11</v>
      </c>
      <c r="AX107" s="21">
        <f t="shared" si="60"/>
        <v>0.44733139809340805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-5.3205440053716299E-14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215.23235148064941</v>
      </c>
      <c r="BJ107" s="59">
        <f t="shared" si="92"/>
        <v>184.07239726900434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0.72396264956822598</v>
      </c>
      <c r="BQ107" s="21">
        <f>EXP(-LN(2)/25)*BQ106+(1-EXP(-LN(2)/25))/(LN(2)/25)*Calculateur!BL107*Calculateur!BN107*VLOOKUP('Données projet'!$B$11,Paramètres!$A$1:$I$89,3,0)*0.475*44/12</f>
        <v>1.0095389396430379</v>
      </c>
      <c r="BR107" s="21">
        <f>EXP(-LN(2)/2)*BR106+(1-EXP(-LN(2)/2))/(LN(2)/2)*BL107*BO107*VLOOKUP('Données projet'!$B$11,Paramètres!$A$1:$I$89,3,0)*0.475*44/12</f>
        <v>7.1538499325804819E-11</v>
      </c>
      <c r="BS107" s="22">
        <f t="shared" si="63"/>
        <v>1.7335015892828023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4.4000000000000004</v>
      </c>
      <c r="BY107" s="12">
        <f>IF('Données projet'!$A$114&gt;35,BY106+BX107-CG106,IF(A107&lt;'Données projet'!$A$114,$BV$205^A107,IF(A107='Données projet'!$A$114,'Données projet'!$B$114,BY106+BX107-CG106)))</f>
        <v>278.60000000000014</v>
      </c>
      <c r="BZ107" s="13">
        <f>BY107*VLOOKUP('Données projet'!$B$12,Paramètres!$A$1:$I$89,3,0)*VLOOKUP('Données projet'!$B$12,Paramètres!$A$1:$I$89,5,0)</f>
        <v>299.88504000000012</v>
      </c>
      <c r="CA107" s="13">
        <f t="shared" si="93"/>
        <v>71.152362906464646</v>
      </c>
      <c r="CB107" s="20">
        <f t="shared" si="64"/>
        <v>646.22347672875947</v>
      </c>
      <c r="CC107" s="59">
        <f t="shared" si="65"/>
        <v>939.55681006209284</v>
      </c>
      <c r="CD107" s="59">
        <f ca="1">AVERAGE(OFFSET($CC$3,0,0,'Données projet'!$E$12+1,1))-AVERAGE(OFFSET($H$3,0,0,'Données projet'!$E$12+1,1))</f>
        <v>303.1504619632214</v>
      </c>
      <c r="CE107" s="59">
        <f t="shared" si="94"/>
        <v>188.09929616366503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0.47485948407635159</v>
      </c>
      <c r="CM107" s="21">
        <f>EXP(-LN(2)/2)*CM106+(1-EXP(-LN(2)/2))/(LN(2)/2)*CG107*CJ107*VLOOKUP('Données projet'!$B$12,Paramètres!$A$1:$I$89,3,0)*0.475*44/12</f>
        <v>5.3574256081548838E-11</v>
      </c>
      <c r="CN107" s="22">
        <f t="shared" si="66"/>
        <v>0.47485948412992585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5.6843418860808015E-14</v>
      </c>
      <c r="CU107" s="17">
        <f>CT107*VLOOKUP('Données projet'!$B$13,Paramètres!$A$1:$I$89,3,0)*VLOOKUP('Données projet'!$B$13,Paramètres!$A$1:$I$89,5,0)</f>
        <v>3.813056537183002E-14</v>
      </c>
      <c r="CV107" s="13">
        <f t="shared" si="95"/>
        <v>6.4086286045526829E-13</v>
      </c>
      <c r="CW107" s="20">
        <f t="shared" si="67"/>
        <v>1.1825802166488628E-12</v>
      </c>
      <c r="CX107" s="59">
        <f t="shared" si="68"/>
        <v>293.33333333333451</v>
      </c>
      <c r="CY107" s="59">
        <f ca="1">AVERAGE(OFFSET($CX$3,0,0,'Données projet'!$E$13+1,1))-AVERAGE(OFFSET($H$3,0,0,'Données projet'!$E$13+1,1))</f>
        <v>156.63226020379989</v>
      </c>
      <c r="CZ107" s="59">
        <f t="shared" si="96"/>
        <v>196.0481096619543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1.114213290091655</v>
      </c>
      <c r="DH107" s="21">
        <f>EXP(-LN(2)/2)*DH106+(1-EXP(-LN(2)/2))/(LN(2)/2)*DB107*DE107*VLOOKUP('Données projet'!$B$13,Paramètres!$A$1:$I$89,3,0)*0.475*44/12</f>
        <v>6.6018188969805804E-11</v>
      </c>
      <c r="DI107" s="22">
        <f t="shared" si="69"/>
        <v>1.1142132901576731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-8.5265128291212022E-14</v>
      </c>
      <c r="DP107" s="17">
        <f>DO107*VLOOKUP('Données projet'!$B$14,Paramètres!$A$1:$I$89,3,0)*VLOOKUP('Données projet'!$B$14,Paramètres!$A$1:$I$89,5,0)</f>
        <v>-7.7147888077888636E-14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225.28075317732998</v>
      </c>
      <c r="DU107" s="59">
        <f t="shared" si="98"/>
        <v>358.43407531256207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0.51816409567969346</v>
      </c>
      <c r="EB107" s="21">
        <f>EXP(-LN(2)/25)*EB106+(1-EXP(-LN(2)/25))/(LN(2)/25)*Calculateur!DW107*Calculateur!DY107*VLOOKUP('Données projet'!$B$14,Paramètres!$A$1:$I$89,3,0)*0.475*44/12</f>
        <v>1.0630769809567033</v>
      </c>
      <c r="EC107" s="21">
        <f>EXP(-LN(2)/2)*EC106+(1-EXP(-LN(2)/2))/(LN(2)/2)*DW107*DZ107*VLOOKUP('Données projet'!$B$14,Paramètres!$A$1:$I$89,3,0)*0.475*44/12</f>
        <v>3.2116230540628921E-11</v>
      </c>
      <c r="ED107" s="22">
        <f t="shared" si="72"/>
        <v>1.581241076668513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-5.6843418860808015E-13</v>
      </c>
      <c r="EK107" s="17">
        <f>EJ107*VLOOKUP('Données projet'!$B$15,Paramètres!$A$1:$I$89,3,0)*VLOOKUP('Données projet'!$B$15,Paramètres!$A$1:$I$89,5,0)</f>
        <v>-3.177547114319168E-13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326.31232746914907</v>
      </c>
      <c r="EP107" s="59">
        <f t="shared" si="100"/>
        <v>330.17137761430297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1.0550121400146995</v>
      </c>
      <c r="EW107" s="21">
        <f>EXP(-LN(2)/25)*EW106+(1-EXP(-LN(2)/25))/(LN(2)/25)*Calculateur!ER107*Calculateur!ET107*VLOOKUP('Données projet'!$B$15,Paramètres!$A$1:$I$89,3,0)*0.475*44/12</f>
        <v>3.8776531632324738</v>
      </c>
      <c r="EX107" s="21">
        <f>EXP(-LN(2)/2)*EX106+(1-EXP(-LN(2)/2))/(LN(2)/2)*ER107*EU107*VLOOKUP('Données projet'!$B$15,Paramètres!$A$1:$I$89,3,0)*0.475*44/12</f>
        <v>2.3662933650801454E-10</v>
      </c>
      <c r="EY107" s="22">
        <f t="shared" si="75"/>
        <v>4.9326653034838026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255.41017495879987</v>
      </c>
      <c r="FK107" s="59">
        <f t="shared" si="102"/>
        <v>297.50513563712764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1.9271257694983084</v>
      </c>
      <c r="FR107" s="21">
        <f>EXP(-LN(2)/25)*FR106+(1-EXP(-LN(2)/25))/(LN(2)/25)*Calculateur!FM107*Calculateur!FO107*VLOOKUP('Données projet'!$B$16,Paramètres!$A$1:$I$89,3,0)*0.475*44/12</f>
        <v>3.5816745424477401</v>
      </c>
      <c r="FS107" s="21">
        <f>EXP(-LN(2)/2)*FS106+(1-EXP(-LN(2)/2))/(LN(2)/2)*FM107*FP107*VLOOKUP('Données projet'!$B$16,Paramètres!$A$1:$I$89,3,0)*0.475*44/12</f>
        <v>1.7754203244775912E-10</v>
      </c>
      <c r="FT107" s="22">
        <f t="shared" si="78"/>
        <v>5.5088003121235909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1.1368683772161603E-13</v>
      </c>
      <c r="GA107" s="17">
        <f>FZ107*VLOOKUP('Données projet'!$B$17,Paramètres!$A$1:$I$89,3,0)*VLOOKUP('Données projet'!$B$17,Paramètres!$A$1:$I$89,5,0)</f>
        <v>6.7984728957526396E-14</v>
      </c>
      <c r="GB107" s="13">
        <f t="shared" si="103"/>
        <v>1.0682447123141398E-12</v>
      </c>
      <c r="GC107" s="20">
        <f t="shared" si="79"/>
        <v>1.978932943548152E-12</v>
      </c>
      <c r="GD107" s="59">
        <f t="shared" si="80"/>
        <v>293.3333333333353</v>
      </c>
      <c r="GE107" s="59">
        <f ca="1">AVERAGE(OFFSET($GD$3,0,0,'Données projet'!$E$17+1,1))-AVERAGE(OFFSET($H$3,0,0,'Données projet'!$E$17+1,1))</f>
        <v>259.30247982593914</v>
      </c>
      <c r="GF107" s="59">
        <f t="shared" si="104"/>
        <v>275.24740346220779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</v>
      </c>
      <c r="GM107" s="21">
        <f>EXP(-LN(2)/25)*GM106+(1-EXP(-LN(2)/25))/(LN(2)/25)*Calculateur!GH107*Calculateur!GJ107*VLOOKUP('Données projet'!$B$17,Paramètres!$A$1:$I$89,3,0)*0.475*44/12</f>
        <v>2.3174987543082546</v>
      </c>
      <c r="GN107" s="21">
        <f>EXP(-LN(2)/2)*GN106+(1-EXP(-LN(2)/2))/(LN(2)/2)*GH107*GK107*VLOOKUP('Données projet'!$B$17,Paramètres!$A$1:$I$89,3,0)*0.475*44/12</f>
        <v>2.0867788539810162E-10</v>
      </c>
      <c r="GO107" s="21">
        <f t="shared" si="81"/>
        <v>2.3174987545169325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5.6843418860808015E-14</v>
      </c>
      <c r="GV107" s="17">
        <f>GU107*VLOOKUP('Données projet'!$B$18,Paramètres!$A$1:$I$89,3,0)*VLOOKUP('Données projet'!$B$18,Paramètres!$A$1:$I$89,5,0)</f>
        <v>4.5224624045658861E-14</v>
      </c>
      <c r="GW107" s="13">
        <f t="shared" si="105"/>
        <v>7.4514601661523691E-13</v>
      </c>
      <c r="GX107" s="20">
        <f t="shared" si="82"/>
        <v>1.3765621991510601E-12</v>
      </c>
      <c r="GY107" s="59">
        <f t="shared" si="83"/>
        <v>293.33333333333468</v>
      </c>
      <c r="GZ107" s="59">
        <f ca="1">AVERAGE(OFFSET($GY$3,0,0,'Données projet'!$E$18+1,1))-AVERAGE(OFFSET($H$3,0,0,'Données projet'!$E$18+1,1))</f>
        <v>199.58763537752952</v>
      </c>
      <c r="HA107" s="59">
        <f t="shared" si="106"/>
        <v>242.62852778451929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0</v>
      </c>
      <c r="HH107" s="21">
        <f>EXP(-LN(2)/25)*HH106+(1-EXP(-LN(2)/25))/(LN(2)/25)*Calculateur!HC107*Calculateur!HE107*VLOOKUP('Données projet'!$B$18,Paramètres!$A$1:$I$89,3,0)*0.475*44/12</f>
        <v>1.32150878592266</v>
      </c>
      <c r="HI107" s="21">
        <f>EXP(-LN(2)/2)*HI106+(1-EXP(-LN(2)/2))/(LN(2)/2)*HC107*HF107*VLOOKUP('Données projet'!$B$18,Paramètres!$A$1:$I$89,3,0)*0.475*44/12</f>
        <v>7.8300642731630214E-11</v>
      </c>
      <c r="HJ107" s="22">
        <f t="shared" si="84"/>
        <v>1.3215087860009607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4.4000000000000004</v>
      </c>
      <c r="N108" s="13">
        <f>IF('Données projet'!$A$36&gt;35,N107+M108-V107,IF(A108&lt;'Données projet'!$A$36,$K$205^A108,IF(A108='Données projet'!$A$36,'Données projet'!$B$36,N107+M108-V107)))</f>
        <v>283.00000000000011</v>
      </c>
      <c r="O108" s="13">
        <f>N108*VLOOKUP('Données projet'!$B$9,Paramètres!$A$1:$I$89,3,0)*VLOOKUP('Données projet'!$B$9,Paramètres!$A$1:$I$89,5,0)</f>
        <v>256.05840000000006</v>
      </c>
      <c r="P108" s="13">
        <f t="shared" si="87"/>
        <v>61.881442594256484</v>
      </c>
      <c r="Q108" s="20">
        <f t="shared" si="107"/>
        <v>553.74522585166358</v>
      </c>
      <c r="R108" s="59">
        <f t="shared" si="55"/>
        <v>847.07855918499695</v>
      </c>
      <c r="S108" s="59">
        <f ca="1">AVERAGE(OFFSET($R$3,0,0,'Données projet'!$E$9+1,1))-AVERAGE(OFFSET($H$3,0,0,'Données projet'!$E$9+1,1))</f>
        <v>237.22177246688199</v>
      </c>
      <c r="T108" s="59">
        <f t="shared" si="88"/>
        <v>149.27472147904302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0.38824227156123914</v>
      </c>
      <c r="AB108" s="21">
        <f>EXP(-LN(2)/2)*AB107+(1-EXP(-LN(2)/2))/(LN(2)/2)*V108*Y108*VLOOKUP('Données projet'!$B$9,Paramètres!$A$1:$I$89,3,0)*0.475*44/12</f>
        <v>3.1843445605691153E-11</v>
      </c>
      <c r="AC108" s="22">
        <f t="shared" si="57"/>
        <v>0.38824227159308261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4.4000000000000004</v>
      </c>
      <c r="AI108" s="13">
        <f>IF('Données projet'!$A$62&gt;35,AI107+AH108-AQ107,IF(A108&lt;'Données projet'!$A$62,$AF$205^A108,IF(A108='Données projet'!$A$62,'Données projet'!$B$62,AI107+AH108-AQ107)))</f>
        <v>283.00000000000011</v>
      </c>
      <c r="AJ108" s="13">
        <f>AI108*VLOOKUP('Données projet'!$B$10,Paramètres!$A$1:$I$89,3,0)*VLOOKUP('Données projet'!$B$10,Paramètres!$A$1:$I$89,5,0)</f>
        <v>286.9620000000001</v>
      </c>
      <c r="AK108" s="13">
        <f t="shared" si="89"/>
        <v>68.436169981717924</v>
      </c>
      <c r="AL108" s="20">
        <f t="shared" si="58"/>
        <v>618.98514605149205</v>
      </c>
      <c r="AM108" s="59">
        <f t="shared" si="59"/>
        <v>912.31847938482542</v>
      </c>
      <c r="AN108" s="59">
        <f ca="1">AVERAGE(OFFSET($AM$3,0,0,'Données projet'!$E$10+1,1))-AVERAGE(OFFSET($H$3,0,0,'Données projet'!$E$10+1,1))</f>
        <v>279.20364724206644</v>
      </c>
      <c r="AO108" s="59">
        <f t="shared" si="90"/>
        <v>173.99850582760712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0.43509909743931952</v>
      </c>
      <c r="AW108" s="21">
        <f>EXP(-LN(2)/2)*AW107+(1-EXP(-LN(2)/2))/(LN(2)/2)*AQ108*AT108*VLOOKUP('Données projet'!$B$10,Paramètres!$A$1:$I$89,3,0)*0.475*44/12</f>
        <v>3.5686620075343528E-11</v>
      </c>
      <c r="AX108" s="21">
        <f t="shared" si="60"/>
        <v>0.43509909747500614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-5.3205440053716299E-14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215.23235148064941</v>
      </c>
      <c r="BJ108" s="59">
        <f t="shared" si="92"/>
        <v>184.07239726900434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0.7097661835838075</v>
      </c>
      <c r="BQ108" s="21">
        <f>EXP(-LN(2)/25)*BQ107+(1-EXP(-LN(2)/25))/(LN(2)/25)*Calculateur!BL108*Calculateur!BN108*VLOOKUP('Données projet'!$B$11,Paramètres!$A$1:$I$89,3,0)*0.475*44/12</f>
        <v>0.98193304424915351</v>
      </c>
      <c r="BR108" s="21">
        <f>EXP(-LN(2)/2)*BR107+(1-EXP(-LN(2)/2))/(LN(2)/2)*BL108*BO108*VLOOKUP('Données projet'!$B$11,Paramètres!$A$1:$I$89,3,0)*0.475*44/12</f>
        <v>5.0585357989185847E-11</v>
      </c>
      <c r="BS108" s="22">
        <f t="shared" si="63"/>
        <v>1.6916992278835463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4.4000000000000004</v>
      </c>
      <c r="BY108" s="12">
        <f>IF('Données projet'!$A$114&gt;35,BY107+BX108-CG107,IF(A108&lt;'Données projet'!$A$114,$BV$205^A108,IF(A108='Données projet'!$A$114,'Données projet'!$B$114,BY107+BX108-CG107)))</f>
        <v>283.00000000000011</v>
      </c>
      <c r="BZ108" s="13">
        <f>BY108*VLOOKUP('Données projet'!$B$12,Paramètres!$A$1:$I$89,3,0)*VLOOKUP('Données projet'!$B$12,Paramètres!$A$1:$I$89,5,0)</f>
        <v>304.6212000000001</v>
      </c>
      <c r="CA108" s="13">
        <f t="shared" si="93"/>
        <v>72.144380911839463</v>
      </c>
      <c r="CB108" s="20">
        <f t="shared" si="64"/>
        <v>656.20005342145384</v>
      </c>
      <c r="CC108" s="59">
        <f t="shared" si="65"/>
        <v>949.53338675478722</v>
      </c>
      <c r="CD108" s="59">
        <f ca="1">AVERAGE(OFFSET($CC$3,0,0,'Données projet'!$E$12+1,1))-AVERAGE(OFFSET($H$3,0,0,'Données projet'!$E$12+1,1))</f>
        <v>303.1504619632214</v>
      </c>
      <c r="CE108" s="59">
        <f t="shared" si="94"/>
        <v>188.09929616366503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0.46187442651250882</v>
      </c>
      <c r="CM108" s="21">
        <f>EXP(-LN(2)/2)*CM107+(1-EXP(-LN(2)/2))/(LN(2)/2)*CG108*CJ108*VLOOKUP('Données projet'!$B$12,Paramètres!$A$1:$I$89,3,0)*0.475*44/12</f>
        <v>3.7882719772287817E-11</v>
      </c>
      <c r="CN108" s="22">
        <f t="shared" si="66"/>
        <v>0.46187442655039151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5.6843418860808015E-14</v>
      </c>
      <c r="CU108" s="17">
        <f>CT108*VLOOKUP('Données projet'!$B$13,Paramètres!$A$1:$I$89,3,0)*VLOOKUP('Données projet'!$B$13,Paramètres!$A$1:$I$89,5,0)</f>
        <v>3.813056537183002E-14</v>
      </c>
      <c r="CV108" s="13">
        <f t="shared" si="95"/>
        <v>6.4086286045526829E-13</v>
      </c>
      <c r="CW108" s="20">
        <f t="shared" si="67"/>
        <v>1.1825802166488628E-12</v>
      </c>
      <c r="CX108" s="59">
        <f t="shared" si="68"/>
        <v>293.33333333333451</v>
      </c>
      <c r="CY108" s="59">
        <f ca="1">AVERAGE(OFFSET($CX$3,0,0,'Données projet'!$E$13+1,1))-AVERAGE(OFFSET($H$3,0,0,'Données projet'!$E$13+1,1))</f>
        <v>156.63226020379989</v>
      </c>
      <c r="CZ108" s="59">
        <f t="shared" si="96"/>
        <v>196.0481096619543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1.0837450690801684</v>
      </c>
      <c r="DH108" s="21">
        <f>EXP(-LN(2)/2)*DH107+(1-EXP(-LN(2)/2))/(LN(2)/2)*DB108*DE108*VLOOKUP('Données projet'!$B$13,Paramètres!$A$1:$I$89,3,0)*0.475*44/12</f>
        <v>4.6681909102204618E-11</v>
      </c>
      <c r="DI108" s="22">
        <f t="shared" si="69"/>
        <v>1.0837450691268504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-8.5265128291212022E-14</v>
      </c>
      <c r="DP108" s="17">
        <f>DO108*VLOOKUP('Données projet'!$B$14,Paramètres!$A$1:$I$89,3,0)*VLOOKUP('Données projet'!$B$14,Paramètres!$A$1:$I$89,5,0)</f>
        <v>-7.7147888077888636E-14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225.28075317732998</v>
      </c>
      <c r="DU108" s="59">
        <f t="shared" si="98"/>
        <v>358.43407531256207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0.50800321381230584</v>
      </c>
      <c r="EB108" s="21">
        <f>EXP(-LN(2)/25)*EB107+(1-EXP(-LN(2)/25))/(LN(2)/25)*Calculateur!DW108*Calculateur!DY108*VLOOKUP('Données projet'!$B$14,Paramètres!$A$1:$I$89,3,0)*0.475*44/12</f>
        <v>1.0340070850076535</v>
      </c>
      <c r="EC108" s="21">
        <f>EXP(-LN(2)/2)*EC107+(1-EXP(-LN(2)/2))/(LN(2)/2)*DW108*DZ108*VLOOKUP('Données projet'!$B$14,Paramètres!$A$1:$I$89,3,0)*0.475*44/12</f>
        <v>2.2709604401429209E-11</v>
      </c>
      <c r="ED108" s="22">
        <f t="shared" si="72"/>
        <v>1.5420102988426689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-5.6843418860808015E-13</v>
      </c>
      <c r="EK108" s="17">
        <f>EJ108*VLOOKUP('Données projet'!$B$15,Paramètres!$A$1:$I$89,3,0)*VLOOKUP('Données projet'!$B$15,Paramètres!$A$1:$I$89,5,0)</f>
        <v>-3.177547114319168E-13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326.31232746914907</v>
      </c>
      <c r="EP108" s="59">
        <f t="shared" si="100"/>
        <v>330.17137761430297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1.0343239954428769</v>
      </c>
      <c r="EW108" s="21">
        <f>EXP(-LN(2)/25)*EW107+(1-EXP(-LN(2)/25))/(LN(2)/25)*Calculateur!ER108*Calculateur!ET108*VLOOKUP('Données projet'!$B$15,Paramètres!$A$1:$I$89,3,0)*0.475*44/12</f>
        <v>3.7716185335669645</v>
      </c>
      <c r="EX108" s="21">
        <f>EXP(-LN(2)/2)*EX107+(1-EXP(-LN(2)/2))/(LN(2)/2)*ER108*EU108*VLOOKUP('Données projet'!$B$15,Paramètres!$A$1:$I$89,3,0)*0.475*44/12</f>
        <v>1.6732220847249056E-10</v>
      </c>
      <c r="EY108" s="22">
        <f t="shared" si="75"/>
        <v>4.8059425291771634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255.41017495879987</v>
      </c>
      <c r="FK108" s="59">
        <f t="shared" si="102"/>
        <v>297.50513563712764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1.8893360085891018</v>
      </c>
      <c r="FR108" s="21">
        <f>EXP(-LN(2)/25)*FR107+(1-EXP(-LN(2)/25))/(LN(2)/25)*Calculateur!FM108*Calculateur!FO108*VLOOKUP('Données projet'!$B$16,Paramètres!$A$1:$I$89,3,0)*0.475*44/12</f>
        <v>3.4837334637324284</v>
      </c>
      <c r="FS108" s="21">
        <f>EXP(-LN(2)/2)*FS107+(1-EXP(-LN(2)/2))/(LN(2)/2)*FM108*FP108*VLOOKUP('Données projet'!$B$16,Paramètres!$A$1:$I$89,3,0)*0.475*44/12</f>
        <v>1.2554117508945253E-10</v>
      </c>
      <c r="FT108" s="22">
        <f t="shared" si="78"/>
        <v>5.3730694724470718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1.1368683772161603E-13</v>
      </c>
      <c r="GA108" s="17">
        <f>FZ108*VLOOKUP('Données projet'!$B$17,Paramètres!$A$1:$I$89,3,0)*VLOOKUP('Données projet'!$B$17,Paramètres!$A$1:$I$89,5,0)</f>
        <v>6.7984728957526396E-14</v>
      </c>
      <c r="GB108" s="13">
        <f t="shared" si="103"/>
        <v>1.0682447123141398E-12</v>
      </c>
      <c r="GC108" s="20">
        <f t="shared" si="79"/>
        <v>1.978932943548152E-12</v>
      </c>
      <c r="GD108" s="59">
        <f t="shared" si="80"/>
        <v>293.3333333333353</v>
      </c>
      <c r="GE108" s="59">
        <f ca="1">AVERAGE(OFFSET($GD$3,0,0,'Données projet'!$E$17+1,1))-AVERAGE(OFFSET($H$3,0,0,'Données projet'!$E$17+1,1))</f>
        <v>259.30247982593914</v>
      </c>
      <c r="GF108" s="59">
        <f t="shared" si="104"/>
        <v>275.24740346220779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</v>
      </c>
      <c r="GM108" s="21">
        <f>EXP(-LN(2)/25)*GM107+(1-EXP(-LN(2)/25))/(LN(2)/25)*Calculateur!GH108*Calculateur!GJ108*VLOOKUP('Données projet'!$B$17,Paramètres!$A$1:$I$89,3,0)*0.475*44/12</f>
        <v>2.2541266289997326</v>
      </c>
      <c r="GN108" s="21">
        <f>EXP(-LN(2)/2)*GN107+(1-EXP(-LN(2)/2))/(LN(2)/2)*GH108*GK108*VLOOKUP('Données projet'!$B$17,Paramètres!$A$1:$I$89,3,0)*0.475*44/12</f>
        <v>1.4755754784866688E-10</v>
      </c>
      <c r="GO108" s="21">
        <f t="shared" si="81"/>
        <v>2.2541266291472901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5.6843418860808015E-14</v>
      </c>
      <c r="GV108" s="17">
        <f>GU108*VLOOKUP('Données projet'!$B$18,Paramètres!$A$1:$I$89,3,0)*VLOOKUP('Données projet'!$B$18,Paramètres!$A$1:$I$89,5,0)</f>
        <v>4.5224624045658861E-14</v>
      </c>
      <c r="GW108" s="13">
        <f t="shared" si="105"/>
        <v>7.4514601661523691E-13</v>
      </c>
      <c r="GX108" s="20">
        <f t="shared" si="82"/>
        <v>1.3765621991510601E-12</v>
      </c>
      <c r="GY108" s="59">
        <f t="shared" si="83"/>
        <v>293.33333333333468</v>
      </c>
      <c r="GZ108" s="59">
        <f ca="1">AVERAGE(OFFSET($GY$3,0,0,'Données projet'!$E$18+1,1))-AVERAGE(OFFSET($H$3,0,0,'Données projet'!$E$18+1,1))</f>
        <v>199.58763537752952</v>
      </c>
      <c r="HA108" s="59">
        <f t="shared" si="106"/>
        <v>242.62852778451929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0</v>
      </c>
      <c r="HH108" s="21">
        <f>EXP(-LN(2)/25)*HH107+(1-EXP(-LN(2)/25))/(LN(2)/25)*Calculateur!HC108*Calculateur!HE108*VLOOKUP('Données projet'!$B$18,Paramètres!$A$1:$I$89,3,0)*0.475*44/12</f>
        <v>1.2853720586764781</v>
      </c>
      <c r="HI108" s="21">
        <f>EXP(-LN(2)/2)*HI107+(1-EXP(-LN(2)/2))/(LN(2)/2)*HC108*HF108*VLOOKUP('Données projet'!$B$18,Paramètres!$A$1:$I$89,3,0)*0.475*44/12</f>
        <v>5.5366915446800879E-11</v>
      </c>
      <c r="HJ108" s="22">
        <f t="shared" si="84"/>
        <v>1.2853720587318449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4.4000000000000004</v>
      </c>
      <c r="N109" s="13">
        <f>IF('Données projet'!$A$36&gt;35,N108+M109-V108,IF(A109&lt;'Données projet'!$A$36,$K$205^A109,IF(A109='Données projet'!$A$36,'Données projet'!$B$36,N108+M109-V108)))</f>
        <v>287.40000000000009</v>
      </c>
      <c r="O109" s="13">
        <f>N109*VLOOKUP('Données projet'!$B$9,Paramètres!$A$1:$I$89,3,0)*VLOOKUP('Données projet'!$B$9,Paramètres!$A$1:$I$89,5,0)</f>
        <v>260.03952000000004</v>
      </c>
      <c r="P109" s="13">
        <f t="shared" si="87"/>
        <v>62.730801948604871</v>
      </c>
      <c r="Q109" s="20">
        <f t="shared" si="107"/>
        <v>562.15831072715355</v>
      </c>
      <c r="R109" s="59">
        <f t="shared" si="55"/>
        <v>855.49164406048681</v>
      </c>
      <c r="S109" s="59">
        <f ca="1">AVERAGE(OFFSET($R$3,0,0,'Données projet'!$E$9+1,1))-AVERAGE(OFFSET($H$3,0,0,'Données projet'!$E$9+1,1))</f>
        <v>237.22177246688199</v>
      </c>
      <c r="T109" s="59">
        <f t="shared" si="88"/>
        <v>149.27472147904302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0.37762576622862332</v>
      </c>
      <c r="AB109" s="21">
        <f>EXP(-LN(2)/2)*AB108+(1-EXP(-LN(2)/2))/(LN(2)/2)*V109*Y109*VLOOKUP('Données projet'!$B$9,Paramètres!$A$1:$I$89,3,0)*0.475*44/12</f>
        <v>2.2516716324129183E-11</v>
      </c>
      <c r="AC109" s="22">
        <f t="shared" si="57"/>
        <v>0.37762576625114003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4.4000000000000004</v>
      </c>
      <c r="AI109" s="13">
        <f>IF('Données projet'!$A$62&gt;35,AI108+AH109-AQ108,IF(A109&lt;'Données projet'!$A$62,$AF$205^A109,IF(A109='Données projet'!$A$62,'Données projet'!$B$62,AI108+AH109-AQ108)))</f>
        <v>287.40000000000009</v>
      </c>
      <c r="AJ109" s="13">
        <f>AI109*VLOOKUP('Données projet'!$B$10,Paramètres!$A$1:$I$89,3,0)*VLOOKUP('Données projet'!$B$10,Paramètres!$A$1:$I$89,5,0)</f>
        <v>291.42360000000008</v>
      </c>
      <c r="AK109" s="13">
        <f t="shared" si="89"/>
        <v>69.375496841482232</v>
      </c>
      <c r="AL109" s="20">
        <f t="shared" si="58"/>
        <v>628.3917603322484</v>
      </c>
      <c r="AM109" s="59">
        <f t="shared" si="59"/>
        <v>921.72509366558165</v>
      </c>
      <c r="AN109" s="59">
        <f ca="1">AVERAGE(OFFSET($AM$3,0,0,'Données projet'!$E$10+1,1))-AVERAGE(OFFSET($H$3,0,0,'Données projet'!$E$10+1,1))</f>
        <v>279.20364724206644</v>
      </c>
      <c r="AO109" s="59">
        <f t="shared" si="90"/>
        <v>173.99850582760712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0.4232012897389742</v>
      </c>
      <c r="AW109" s="21">
        <f>EXP(-LN(2)/2)*AW108+(1-EXP(-LN(2)/2))/(LN(2)/2)*AQ109*AT109*VLOOKUP('Données projet'!$B$10,Paramètres!$A$1:$I$89,3,0)*0.475*44/12</f>
        <v>2.5234251052903391E-11</v>
      </c>
      <c r="AX109" s="21">
        <f t="shared" si="60"/>
        <v>0.42320128976420845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-5.3205440053716299E-14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215.23235148064941</v>
      </c>
      <c r="BJ109" s="59">
        <f t="shared" si="92"/>
        <v>184.07239726900434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0.6958481016383542</v>
      </c>
      <c r="BQ109" s="21">
        <f>EXP(-LN(2)/25)*BQ108+(1-EXP(-LN(2)/25))/(LN(2)/25)*Calculateur!BL109*Calculateur!BN109*VLOOKUP('Données projet'!$B$11,Paramètres!$A$1:$I$89,3,0)*0.475*44/12</f>
        <v>0.95508203351654586</v>
      </c>
      <c r="BR109" s="21">
        <f>EXP(-LN(2)/2)*BR108+(1-EXP(-LN(2)/2))/(LN(2)/2)*BL109*BO109*VLOOKUP('Données projet'!$B$11,Paramètres!$A$1:$I$89,3,0)*0.475*44/12</f>
        <v>3.576924966290241E-11</v>
      </c>
      <c r="BS109" s="22">
        <f t="shared" si="63"/>
        <v>1.6509301351906691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4.4000000000000004</v>
      </c>
      <c r="BY109" s="12">
        <f>IF('Données projet'!$A$114&gt;35,BY108+BX109-CG108,IF(A109&lt;'Données projet'!$A$114,$BV$205^A109,IF(A109='Données projet'!$A$114,'Données projet'!$B$114,BY108+BX109-CG108)))</f>
        <v>287.40000000000009</v>
      </c>
      <c r="BZ109" s="13">
        <f>BY109*VLOOKUP('Données projet'!$B$12,Paramètres!$A$1:$I$89,3,0)*VLOOKUP('Données projet'!$B$12,Paramètres!$A$1:$I$89,5,0)</f>
        <v>309.35736000000009</v>
      </c>
      <c r="CA109" s="13">
        <f t="shared" si="93"/>
        <v>73.134605157142232</v>
      </c>
      <c r="CB109" s="20">
        <f t="shared" si="64"/>
        <v>666.17350598202279</v>
      </c>
      <c r="CC109" s="59">
        <f t="shared" si="65"/>
        <v>959.50683931535605</v>
      </c>
      <c r="CD109" s="59">
        <f ca="1">AVERAGE(OFFSET($CC$3,0,0,'Données projet'!$E$12+1,1))-AVERAGE(OFFSET($H$3,0,0,'Données projet'!$E$12+1,1))</f>
        <v>303.1504619632214</v>
      </c>
      <c r="CE109" s="59">
        <f t="shared" si="94"/>
        <v>188.09929616366503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0.44924444603060382</v>
      </c>
      <c r="CM109" s="21">
        <f>EXP(-LN(2)/2)*CM108+(1-EXP(-LN(2)/2))/(LN(2)/2)*CG109*CJ109*VLOOKUP('Données projet'!$B$12,Paramètres!$A$1:$I$89,3,0)*0.475*44/12</f>
        <v>2.6787128040774419E-11</v>
      </c>
      <c r="CN109" s="22">
        <f t="shared" si="66"/>
        <v>0.44924444605739094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5.6843418860808015E-14</v>
      </c>
      <c r="CU109" s="17">
        <f>CT109*VLOOKUP('Données projet'!$B$13,Paramètres!$A$1:$I$89,3,0)*VLOOKUP('Données projet'!$B$13,Paramètres!$A$1:$I$89,5,0)</f>
        <v>3.813056537183002E-14</v>
      </c>
      <c r="CV109" s="13">
        <f t="shared" si="95"/>
        <v>6.4086286045526829E-13</v>
      </c>
      <c r="CW109" s="20">
        <f t="shared" si="67"/>
        <v>1.1825802166488628E-12</v>
      </c>
      <c r="CX109" s="59">
        <f t="shared" si="68"/>
        <v>293.33333333333451</v>
      </c>
      <c r="CY109" s="59">
        <f ca="1">AVERAGE(OFFSET($CX$3,0,0,'Données projet'!$E$13+1,1))-AVERAGE(OFFSET($H$3,0,0,'Données projet'!$E$13+1,1))</f>
        <v>156.63226020379989</v>
      </c>
      <c r="CZ109" s="59">
        <f t="shared" si="96"/>
        <v>196.0481096619543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1.054110003174495</v>
      </c>
      <c r="DH109" s="21">
        <f>EXP(-LN(2)/2)*DH108+(1-EXP(-LN(2)/2))/(LN(2)/2)*DB109*DE109*VLOOKUP('Données projet'!$B$13,Paramètres!$A$1:$I$89,3,0)*0.475*44/12</f>
        <v>3.3009094484902902E-11</v>
      </c>
      <c r="DI109" s="22">
        <f t="shared" si="69"/>
        <v>1.0541100032075041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-8.5265128291212022E-14</v>
      </c>
      <c r="DP109" s="17">
        <f>DO109*VLOOKUP('Données projet'!$B$14,Paramètres!$A$1:$I$89,3,0)*VLOOKUP('Données projet'!$B$14,Paramètres!$A$1:$I$89,5,0)</f>
        <v>-7.7147888077888636E-14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225.28075317732998</v>
      </c>
      <c r="DU109" s="59">
        <f t="shared" si="98"/>
        <v>358.43407531256207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0.49804158064081167</v>
      </c>
      <c r="EB109" s="21">
        <f>EXP(-LN(2)/25)*EB108+(1-EXP(-LN(2)/25))/(LN(2)/25)*Calculateur!DW109*Calculateur!DY109*VLOOKUP('Données projet'!$B$14,Paramètres!$A$1:$I$89,3,0)*0.475*44/12</f>
        <v>1.0057321068920499</v>
      </c>
      <c r="EC109" s="21">
        <f>EXP(-LN(2)/2)*EC108+(1-EXP(-LN(2)/2))/(LN(2)/2)*DW109*DZ109*VLOOKUP('Données projet'!$B$14,Paramètres!$A$1:$I$89,3,0)*0.475*44/12</f>
        <v>1.605811527031446E-11</v>
      </c>
      <c r="ED109" s="22">
        <f t="shared" si="72"/>
        <v>1.5037736875489196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-5.6843418860808015E-13</v>
      </c>
      <c r="EK109" s="17">
        <f>EJ109*VLOOKUP('Données projet'!$B$15,Paramètres!$A$1:$I$89,3,0)*VLOOKUP('Données projet'!$B$15,Paramètres!$A$1:$I$89,5,0)</f>
        <v>-3.177547114319168E-13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326.31232746914907</v>
      </c>
      <c r="EP109" s="59">
        <f t="shared" si="100"/>
        <v>330.17137761430297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1.0140415327675856</v>
      </c>
      <c r="EW109" s="21">
        <f>EXP(-LN(2)/25)*EW108+(1-EXP(-LN(2)/25))/(LN(2)/25)*Calculateur!ER109*Calculateur!ET109*VLOOKUP('Données projet'!$B$15,Paramètres!$A$1:$I$89,3,0)*0.475*44/12</f>
        <v>3.6684834264257775</v>
      </c>
      <c r="EX109" s="21">
        <f>EXP(-LN(2)/2)*EX108+(1-EXP(-LN(2)/2))/(LN(2)/2)*ER109*EU109*VLOOKUP('Données projet'!$B$15,Paramètres!$A$1:$I$89,3,0)*0.475*44/12</f>
        <v>1.1831466825400727E-10</v>
      </c>
      <c r="EY109" s="22">
        <f t="shared" si="75"/>
        <v>4.6825249593116771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255.41017495879987</v>
      </c>
      <c r="FK109" s="59">
        <f t="shared" si="102"/>
        <v>297.50513563712764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1.8522872818418465</v>
      </c>
      <c r="FR109" s="21">
        <f>EXP(-LN(2)/25)*FR108+(1-EXP(-LN(2)/25))/(LN(2)/25)*Calculateur!FM109*Calculateur!FO109*VLOOKUP('Données projet'!$B$16,Paramètres!$A$1:$I$89,3,0)*0.475*44/12</f>
        <v>3.3884705889650846</v>
      </c>
      <c r="FS109" s="21">
        <f>EXP(-LN(2)/2)*FS108+(1-EXP(-LN(2)/2))/(LN(2)/2)*FM109*FP109*VLOOKUP('Données projet'!$B$16,Paramètres!$A$1:$I$89,3,0)*0.475*44/12</f>
        <v>8.877101622387956E-11</v>
      </c>
      <c r="FT109" s="22">
        <f t="shared" si="78"/>
        <v>5.2407578708957017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1.1368683772161603E-13</v>
      </c>
      <c r="GA109" s="17">
        <f>FZ109*VLOOKUP('Données projet'!$B$17,Paramètres!$A$1:$I$89,3,0)*VLOOKUP('Données projet'!$B$17,Paramètres!$A$1:$I$89,5,0)</f>
        <v>6.7984728957526396E-14</v>
      </c>
      <c r="GB109" s="13">
        <f t="shared" si="103"/>
        <v>1.0682447123141398E-12</v>
      </c>
      <c r="GC109" s="20">
        <f t="shared" si="79"/>
        <v>1.978932943548152E-12</v>
      </c>
      <c r="GD109" s="59">
        <f t="shared" si="80"/>
        <v>293.3333333333353</v>
      </c>
      <c r="GE109" s="59">
        <f ca="1">AVERAGE(OFFSET($GD$3,0,0,'Données projet'!$E$17+1,1))-AVERAGE(OFFSET($H$3,0,0,'Données projet'!$E$17+1,1))</f>
        <v>259.30247982593914</v>
      </c>
      <c r="GF109" s="59">
        <f t="shared" si="104"/>
        <v>275.24740346220779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</v>
      </c>
      <c r="GM109" s="21">
        <f>EXP(-LN(2)/25)*GM108+(1-EXP(-LN(2)/25))/(LN(2)/25)*Calculateur!GH109*Calculateur!GJ109*VLOOKUP('Données projet'!$B$17,Paramètres!$A$1:$I$89,3,0)*0.475*44/12</f>
        <v>2.1924874177903675</v>
      </c>
      <c r="GN109" s="21">
        <f>EXP(-LN(2)/2)*GN108+(1-EXP(-LN(2)/2))/(LN(2)/2)*GH109*GK109*VLOOKUP('Données projet'!$B$17,Paramètres!$A$1:$I$89,3,0)*0.475*44/12</f>
        <v>1.0433894269905081E-10</v>
      </c>
      <c r="GO109" s="21">
        <f t="shared" si="81"/>
        <v>2.1924874178947062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5.6843418860808015E-14</v>
      </c>
      <c r="GV109" s="17">
        <f>GU109*VLOOKUP('Données projet'!$B$18,Paramètres!$A$1:$I$89,3,0)*VLOOKUP('Données projet'!$B$18,Paramètres!$A$1:$I$89,5,0)</f>
        <v>4.5224624045658861E-14</v>
      </c>
      <c r="GW109" s="13">
        <f t="shared" si="105"/>
        <v>7.4514601661523691E-13</v>
      </c>
      <c r="GX109" s="20">
        <f t="shared" si="82"/>
        <v>1.3765621991510601E-12</v>
      </c>
      <c r="GY109" s="59">
        <f t="shared" si="83"/>
        <v>293.33333333333468</v>
      </c>
      <c r="GZ109" s="59">
        <f ca="1">AVERAGE(OFFSET($GY$3,0,0,'Données projet'!$E$18+1,1))-AVERAGE(OFFSET($H$3,0,0,'Données projet'!$E$18+1,1))</f>
        <v>199.58763537752952</v>
      </c>
      <c r="HA109" s="59">
        <f t="shared" si="106"/>
        <v>242.62852778451929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0</v>
      </c>
      <c r="HH109" s="21">
        <f>EXP(-LN(2)/25)*HH108+(1-EXP(-LN(2)/25))/(LN(2)/25)*Calculateur!HC109*Calculateur!HE109*VLOOKUP('Données projet'!$B$18,Paramètres!$A$1:$I$89,3,0)*0.475*44/12</f>
        <v>1.2502234921371911</v>
      </c>
      <c r="HI109" s="21">
        <f>EXP(-LN(2)/2)*HI108+(1-EXP(-LN(2)/2))/(LN(2)/2)*HC109*HF109*VLOOKUP('Données projet'!$B$18,Paramètres!$A$1:$I$89,3,0)*0.475*44/12</f>
        <v>3.9150321365815107E-11</v>
      </c>
      <c r="HJ109" s="22">
        <f t="shared" si="84"/>
        <v>1.2502234921763413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4.4000000000000004</v>
      </c>
      <c r="N110" s="13">
        <f>IF('Données projet'!$A$36&gt;35,N109+M110-V109,IF(A110&lt;'Données projet'!$A$36,$K$205^A110,IF(A110='Données projet'!$A$36,'Données projet'!$B$36,N109+M110-V109)))</f>
        <v>291.80000000000007</v>
      </c>
      <c r="O110" s="13">
        <f>N110*VLOOKUP('Données projet'!$B$9,Paramètres!$A$1:$I$89,3,0)*VLOOKUP('Données projet'!$B$9,Paramètres!$A$1:$I$89,5,0)</f>
        <v>264.02064000000007</v>
      </c>
      <c r="P110" s="13">
        <f t="shared" si="87"/>
        <v>63.578648990959174</v>
      </c>
      <c r="Q110" s="20">
        <f t="shared" si="107"/>
        <v>570.56876165925394</v>
      </c>
      <c r="R110" s="59">
        <f t="shared" si="55"/>
        <v>863.90209499258731</v>
      </c>
      <c r="S110" s="59">
        <f ca="1">AVERAGE(OFFSET($R$3,0,0,'Données projet'!$E$9+1,1))-AVERAGE(OFFSET($H$3,0,0,'Données projet'!$E$9+1,1))</f>
        <v>237.22177246688199</v>
      </c>
      <c r="T110" s="59">
        <f t="shared" si="88"/>
        <v>149.27472147904302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0.36729956979262562</v>
      </c>
      <c r="AB110" s="21">
        <f>EXP(-LN(2)/2)*AB109+(1-EXP(-LN(2)/2))/(LN(2)/2)*V110*Y110*VLOOKUP('Données projet'!$B$9,Paramètres!$A$1:$I$89,3,0)*0.475*44/12</f>
        <v>1.5921722802845577E-11</v>
      </c>
      <c r="AC110" s="22">
        <f t="shared" si="57"/>
        <v>0.36729956980854733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4.4000000000000004</v>
      </c>
      <c r="AI110" s="13">
        <f>IF('Données projet'!$A$62&gt;35,AI109+AH110-AQ109,IF(A110&lt;'Données projet'!$A$62,$AF$205^A110,IF(A110='Données projet'!$A$62,'Données projet'!$B$62,AI109+AH110-AQ109)))</f>
        <v>291.80000000000007</v>
      </c>
      <c r="AJ110" s="13">
        <f>AI110*VLOOKUP('Données projet'!$B$10,Paramètres!$A$1:$I$89,3,0)*VLOOKUP('Données projet'!$B$10,Paramètres!$A$1:$I$89,5,0)</f>
        <v>295.88520000000005</v>
      </c>
      <c r="AK110" s="13">
        <f t="shared" si="89"/>
        <v>70.313151199178748</v>
      </c>
      <c r="AL110" s="20">
        <f t="shared" si="58"/>
        <v>637.79546167190301</v>
      </c>
      <c r="AM110" s="59">
        <f t="shared" si="59"/>
        <v>931.12879500523627</v>
      </c>
      <c r="AN110" s="59">
        <f ca="1">AVERAGE(OFFSET($AM$3,0,0,'Données projet'!$E$10+1,1))-AVERAGE(OFFSET($H$3,0,0,'Données projet'!$E$10+1,1))</f>
        <v>279.20364724206644</v>
      </c>
      <c r="AO110" s="59">
        <f t="shared" si="90"/>
        <v>173.99850582760712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0.41162882821587338</v>
      </c>
      <c r="AW110" s="21">
        <f>EXP(-LN(2)/2)*AW109+(1-EXP(-LN(2)/2))/(LN(2)/2)*AQ110*AT110*VLOOKUP('Données projet'!$B$10,Paramètres!$A$1:$I$89,3,0)*0.475*44/12</f>
        <v>1.7843310037671764E-11</v>
      </c>
      <c r="AX110" s="21">
        <f t="shared" si="60"/>
        <v>0.41162882823371666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-5.3205440053716299E-14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215.23235148064941</v>
      </c>
      <c r="BJ110" s="59">
        <f t="shared" si="92"/>
        <v>184.07239726900434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0.68220294479065957</v>
      </c>
      <c r="BQ110" s="21">
        <f>EXP(-LN(2)/25)*BQ109+(1-EXP(-LN(2)/25))/(LN(2)/25)*Calculateur!BL110*Calculateur!BN110*VLOOKUP('Données projet'!$B$11,Paramètres!$A$1:$I$89,3,0)*0.475*44/12</f>
        <v>0.92896526508445465</v>
      </c>
      <c r="BR110" s="21">
        <f>EXP(-LN(2)/2)*BR109+(1-EXP(-LN(2)/2))/(LN(2)/2)*BL110*BO110*VLOOKUP('Données projet'!$B$11,Paramètres!$A$1:$I$89,3,0)*0.475*44/12</f>
        <v>2.5292678994592923E-11</v>
      </c>
      <c r="BS110" s="22">
        <f t="shared" si="63"/>
        <v>1.611168209900407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4.4000000000000004</v>
      </c>
      <c r="BY110" s="12">
        <f>IF('Données projet'!$A$114&gt;35,BY109+BX110-CG109,IF(A110&lt;'Données projet'!$A$114,$BV$205^A110,IF(A110='Données projet'!$A$114,'Données projet'!$B$114,BY109+BX110-CG109)))</f>
        <v>291.80000000000007</v>
      </c>
      <c r="BZ110" s="13">
        <f>BY110*VLOOKUP('Données projet'!$B$12,Paramètres!$A$1:$I$89,3,0)*VLOOKUP('Données projet'!$B$12,Paramètres!$A$1:$I$89,5,0)</f>
        <v>314.09352000000007</v>
      </c>
      <c r="CA110" s="13">
        <f t="shared" si="93"/>
        <v>74.123066275924515</v>
      </c>
      <c r="CB110" s="20">
        <f t="shared" si="64"/>
        <v>676.14388776390194</v>
      </c>
      <c r="CC110" s="59">
        <f t="shared" si="65"/>
        <v>969.47722109723532</v>
      </c>
      <c r="CD110" s="59">
        <f ca="1">AVERAGE(OFFSET($CC$3,0,0,'Données projet'!$E$12+1,1))-AVERAGE(OFFSET($H$3,0,0,'Données projet'!$E$12+1,1))</f>
        <v>303.1504619632214</v>
      </c>
      <c r="CE110" s="59">
        <f t="shared" si="94"/>
        <v>188.09929616366503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0.43695983302915831</v>
      </c>
      <c r="CM110" s="21">
        <f>EXP(-LN(2)/2)*CM109+(1-EXP(-LN(2)/2))/(LN(2)/2)*CG110*CJ110*VLOOKUP('Données projet'!$B$12,Paramètres!$A$1:$I$89,3,0)*0.475*44/12</f>
        <v>1.8941359886143908E-11</v>
      </c>
      <c r="CN110" s="22">
        <f t="shared" si="66"/>
        <v>0.43695983304809966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5.6843418860808015E-14</v>
      </c>
      <c r="CU110" s="17">
        <f>CT110*VLOOKUP('Données projet'!$B$13,Paramètres!$A$1:$I$89,3,0)*VLOOKUP('Données projet'!$B$13,Paramètres!$A$1:$I$89,5,0)</f>
        <v>3.813056537183002E-14</v>
      </c>
      <c r="CV110" s="13">
        <f t="shared" si="95"/>
        <v>6.4086286045526829E-13</v>
      </c>
      <c r="CW110" s="20">
        <f t="shared" si="67"/>
        <v>1.1825802166488628E-12</v>
      </c>
      <c r="CX110" s="59">
        <f t="shared" si="68"/>
        <v>293.33333333333451</v>
      </c>
      <c r="CY110" s="59">
        <f ca="1">AVERAGE(OFFSET($CX$3,0,0,'Données projet'!$E$13+1,1))-AVERAGE(OFFSET($H$3,0,0,'Données projet'!$E$13+1,1))</f>
        <v>156.63226020379989</v>
      </c>
      <c r="CZ110" s="59">
        <f t="shared" si="96"/>
        <v>196.0481096619543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1.0252853097044525</v>
      </c>
      <c r="DH110" s="21">
        <f>EXP(-LN(2)/2)*DH109+(1-EXP(-LN(2)/2))/(LN(2)/2)*DB110*DE110*VLOOKUP('Données projet'!$B$13,Paramètres!$A$1:$I$89,3,0)*0.475*44/12</f>
        <v>2.3340954551102309E-11</v>
      </c>
      <c r="DI110" s="22">
        <f t="shared" si="69"/>
        <v>1.0252853097277934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-8.5265128291212022E-14</v>
      </c>
      <c r="DP110" s="17">
        <f>DO110*VLOOKUP('Données projet'!$B$14,Paramètres!$A$1:$I$89,3,0)*VLOOKUP('Données projet'!$B$14,Paramètres!$A$1:$I$89,5,0)</f>
        <v>-7.7147888077888636E-14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225.28075317732998</v>
      </c>
      <c r="DU110" s="59">
        <f t="shared" si="98"/>
        <v>358.43407531256207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0.48827528901981421</v>
      </c>
      <c r="EB110" s="21">
        <f>EXP(-LN(2)/25)*EB109+(1-EXP(-LN(2)/25))/(LN(2)/25)*Calculateur!DW110*Calculateur!DY110*VLOOKUP('Données projet'!$B$14,Paramètres!$A$1:$I$89,3,0)*0.475*44/12</f>
        <v>0.97823030953993395</v>
      </c>
      <c r="EC110" s="21">
        <f>EXP(-LN(2)/2)*EC109+(1-EXP(-LN(2)/2))/(LN(2)/2)*DW110*DZ110*VLOOKUP('Données projet'!$B$14,Paramètres!$A$1:$I$89,3,0)*0.475*44/12</f>
        <v>1.1354802200714605E-11</v>
      </c>
      <c r="ED110" s="22">
        <f t="shared" si="72"/>
        <v>1.4665055985711029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-5.6843418860808015E-13</v>
      </c>
      <c r="EK110" s="17">
        <f>EJ110*VLOOKUP('Données projet'!$B$15,Paramètres!$A$1:$I$89,3,0)*VLOOKUP('Données projet'!$B$15,Paramètres!$A$1:$I$89,5,0)</f>
        <v>-3.177547114319168E-13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326.31232746914907</v>
      </c>
      <c r="EP110" s="59">
        <f t="shared" si="100"/>
        <v>330.17137761430297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0.99415679681427593</v>
      </c>
      <c r="EW110" s="21">
        <f>EXP(-LN(2)/25)*EW109+(1-EXP(-LN(2)/25))/(LN(2)/25)*Calculateur!ER110*Calculateur!ET110*VLOOKUP('Données projet'!$B$15,Paramètres!$A$1:$I$89,3,0)*0.475*44/12</f>
        <v>3.5681685542130057</v>
      </c>
      <c r="EX110" s="21">
        <f>EXP(-LN(2)/2)*EX109+(1-EXP(-LN(2)/2))/(LN(2)/2)*ER110*EU110*VLOOKUP('Données projet'!$B$15,Paramètres!$A$1:$I$89,3,0)*0.475*44/12</f>
        <v>8.366110423624528E-11</v>
      </c>
      <c r="EY110" s="22">
        <f t="shared" si="75"/>
        <v>4.5623253511109425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255.41017495879987</v>
      </c>
      <c r="FK110" s="59">
        <f t="shared" si="102"/>
        <v>297.50513563712764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1.8159650580286131</v>
      </c>
      <c r="FR110" s="21">
        <f>EXP(-LN(2)/25)*FR109+(1-EXP(-LN(2)/25))/(LN(2)/25)*Calculateur!FM110*Calculateur!FO110*VLOOKUP('Données projet'!$B$16,Paramètres!$A$1:$I$89,3,0)*0.475*44/12</f>
        <v>3.2958126825179104</v>
      </c>
      <c r="FS110" s="21">
        <f>EXP(-LN(2)/2)*FS109+(1-EXP(-LN(2)/2))/(LN(2)/2)*FM110*FP110*VLOOKUP('Données projet'!$B$16,Paramètres!$A$1:$I$89,3,0)*0.475*44/12</f>
        <v>6.2770587544726263E-11</v>
      </c>
      <c r="FT110" s="22">
        <f t="shared" si="78"/>
        <v>5.1117777406092939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1.1368683772161603E-13</v>
      </c>
      <c r="GA110" s="17">
        <f>FZ110*VLOOKUP('Données projet'!$B$17,Paramètres!$A$1:$I$89,3,0)*VLOOKUP('Données projet'!$B$17,Paramètres!$A$1:$I$89,5,0)</f>
        <v>6.7984728957526396E-14</v>
      </c>
      <c r="GB110" s="13">
        <f t="shared" si="103"/>
        <v>1.0682447123141398E-12</v>
      </c>
      <c r="GC110" s="20">
        <f t="shared" si="79"/>
        <v>1.978932943548152E-12</v>
      </c>
      <c r="GD110" s="59">
        <f t="shared" si="80"/>
        <v>293.3333333333353</v>
      </c>
      <c r="GE110" s="59">
        <f ca="1">AVERAGE(OFFSET($GD$3,0,0,'Données projet'!$E$17+1,1))-AVERAGE(OFFSET($H$3,0,0,'Données projet'!$E$17+1,1))</f>
        <v>259.30247982593914</v>
      </c>
      <c r="GF110" s="59">
        <f t="shared" si="104"/>
        <v>275.24740346220779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</v>
      </c>
      <c r="GM110" s="21">
        <f>EXP(-LN(2)/25)*GM109+(1-EXP(-LN(2)/25))/(LN(2)/25)*Calculateur!GH110*Calculateur!GJ110*VLOOKUP('Données projet'!$B$17,Paramètres!$A$1:$I$89,3,0)*0.475*44/12</f>
        <v>2.1325337340529877</v>
      </c>
      <c r="GN110" s="21">
        <f>EXP(-LN(2)/2)*GN109+(1-EXP(-LN(2)/2))/(LN(2)/2)*GH110*GK110*VLOOKUP('Données projet'!$B$17,Paramètres!$A$1:$I$89,3,0)*0.475*44/12</f>
        <v>7.377877392433344E-11</v>
      </c>
      <c r="GO110" s="21">
        <f t="shared" si="81"/>
        <v>2.1325337341267665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5.6843418860808015E-14</v>
      </c>
      <c r="GV110" s="17">
        <f>GU110*VLOOKUP('Données projet'!$B$18,Paramètres!$A$1:$I$89,3,0)*VLOOKUP('Données projet'!$B$18,Paramètres!$A$1:$I$89,5,0)</f>
        <v>4.5224624045658861E-14</v>
      </c>
      <c r="GW110" s="13">
        <f t="shared" si="105"/>
        <v>7.4514601661523691E-13</v>
      </c>
      <c r="GX110" s="20">
        <f t="shared" si="82"/>
        <v>1.3765621991510601E-12</v>
      </c>
      <c r="GY110" s="59">
        <f t="shared" si="83"/>
        <v>293.33333333333468</v>
      </c>
      <c r="GZ110" s="59">
        <f ca="1">AVERAGE(OFFSET($GY$3,0,0,'Données projet'!$E$18+1,1))-AVERAGE(OFFSET($H$3,0,0,'Données projet'!$E$18+1,1))</f>
        <v>199.58763537752952</v>
      </c>
      <c r="HA110" s="59">
        <f t="shared" si="106"/>
        <v>242.62852778451929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0</v>
      </c>
      <c r="HH110" s="21">
        <f>EXP(-LN(2)/25)*HH109+(1-EXP(-LN(2)/25))/(LN(2)/25)*Calculateur!HC110*Calculateur!HE110*VLOOKUP('Données projet'!$B$18,Paramètres!$A$1:$I$89,3,0)*0.475*44/12</f>
        <v>1.2160360649983035</v>
      </c>
      <c r="HI110" s="21">
        <f>EXP(-LN(2)/2)*HI109+(1-EXP(-LN(2)/2))/(LN(2)/2)*HC110*HF110*VLOOKUP('Données projet'!$B$18,Paramètres!$A$1:$I$89,3,0)*0.475*44/12</f>
        <v>2.7683457723400439E-11</v>
      </c>
      <c r="HJ110" s="22">
        <f t="shared" si="84"/>
        <v>1.2160360650259869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4.4000000000000004</v>
      </c>
      <c r="N111" s="13">
        <f>IF('Données projet'!$A$36&gt;35,N110+M111-V110,IF(A111&lt;'Données projet'!$A$36,$K$205^A111,IF(A111='Données projet'!$A$36,'Données projet'!$B$36,N110+M111-V110)))</f>
        <v>296.20000000000005</v>
      </c>
      <c r="O111" s="13">
        <f>N111*VLOOKUP('Données projet'!$B$9,Paramètres!$A$1:$I$89,3,0)*VLOOKUP('Données projet'!$B$9,Paramètres!$A$1:$I$89,5,0)</f>
        <v>268.00176000000005</v>
      </c>
      <c r="P111" s="13">
        <f t="shared" si="87"/>
        <v>64.425009159185578</v>
      </c>
      <c r="Q111" s="20">
        <f t="shared" si="107"/>
        <v>578.97662295224825</v>
      </c>
      <c r="R111" s="59">
        <f t="shared" si="55"/>
        <v>872.30995628558162</v>
      </c>
      <c r="S111" s="59">
        <f ca="1">AVERAGE(OFFSET($R$3,0,0,'Données projet'!$E$9+1,1))-AVERAGE(OFFSET($H$3,0,0,'Données projet'!$E$9+1,1))</f>
        <v>237.22177246688199</v>
      </c>
      <c r="T111" s="59">
        <f t="shared" si="88"/>
        <v>149.27472147904302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0.35725574374120139</v>
      </c>
      <c r="AB111" s="21">
        <f>EXP(-LN(2)/2)*AB110+(1-EXP(-LN(2)/2))/(LN(2)/2)*V111*Y111*VLOOKUP('Données projet'!$B$9,Paramètres!$A$1:$I$89,3,0)*0.475*44/12</f>
        <v>1.1258358162064591E-11</v>
      </c>
      <c r="AC111" s="22">
        <f t="shared" si="57"/>
        <v>0.35725574375245978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4.4000000000000004</v>
      </c>
      <c r="AI111" s="13">
        <f>IF('Données projet'!$A$62&gt;35,AI110+AH111-AQ110,IF(A111&lt;'Données projet'!$A$62,$AF$205^A111,IF(A111='Données projet'!$A$62,'Données projet'!$B$62,AI110+AH111-AQ110)))</f>
        <v>296.20000000000005</v>
      </c>
      <c r="AJ111" s="13">
        <f>AI111*VLOOKUP('Données projet'!$B$10,Paramètres!$A$1:$I$89,3,0)*VLOOKUP('Données projet'!$B$10,Paramètres!$A$1:$I$89,5,0)</f>
        <v>300.34680000000003</v>
      </c>
      <c r="AK111" s="13">
        <f t="shared" si="89"/>
        <v>71.249161187153362</v>
      </c>
      <c r="AL111" s="20">
        <f t="shared" si="58"/>
        <v>647.19629906762555</v>
      </c>
      <c r="AM111" s="59">
        <f t="shared" si="59"/>
        <v>940.52963240095892</v>
      </c>
      <c r="AN111" s="59">
        <f ca="1">AVERAGE(OFFSET($AM$3,0,0,'Données projet'!$E$10+1,1))-AVERAGE(OFFSET($H$3,0,0,'Données projet'!$E$10+1,1))</f>
        <v>279.20364724206644</v>
      </c>
      <c r="AO111" s="59">
        <f t="shared" si="90"/>
        <v>173.99850582760712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0.40037281626169102</v>
      </c>
      <c r="AW111" s="21">
        <f>EXP(-LN(2)/2)*AW110+(1-EXP(-LN(2)/2))/(LN(2)/2)*AQ111*AT111*VLOOKUP('Données projet'!$B$10,Paramètres!$A$1:$I$89,3,0)*0.475*44/12</f>
        <v>1.2617125526451695E-11</v>
      </c>
      <c r="AX111" s="21">
        <f t="shared" si="60"/>
        <v>0.40037281627430815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-5.3205440053716299E-14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215.23235148064941</v>
      </c>
      <c r="BJ111" s="59">
        <f t="shared" si="92"/>
        <v>184.07239726900434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0.66882536114602431</v>
      </c>
      <c r="BQ111" s="21">
        <f>EXP(-LN(2)/25)*BQ110+(1-EXP(-LN(2)/25))/(LN(2)/25)*Calculateur!BL111*Calculateur!BN111*VLOOKUP('Données projet'!$B$11,Paramètres!$A$1:$I$89,3,0)*0.475*44/12</f>
        <v>0.90356266105856009</v>
      </c>
      <c r="BR111" s="21">
        <f>EXP(-LN(2)/2)*BR110+(1-EXP(-LN(2)/2))/(LN(2)/2)*BL111*BO111*VLOOKUP('Données projet'!$B$11,Paramètres!$A$1:$I$89,3,0)*0.475*44/12</f>
        <v>1.7884624831451205E-11</v>
      </c>
      <c r="BS111" s="22">
        <f t="shared" si="63"/>
        <v>1.5723880222224691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4.4000000000000004</v>
      </c>
      <c r="BY111" s="12">
        <f>IF('Données projet'!$A$114&gt;35,BY110+BX111-CG110,IF(A111&lt;'Données projet'!$A$114,$BV$205^A111,IF(A111='Données projet'!$A$114,'Données projet'!$B$114,BY110+BX111-CG110)))</f>
        <v>296.20000000000005</v>
      </c>
      <c r="BZ111" s="13">
        <f>BY111*VLOOKUP('Données projet'!$B$12,Paramètres!$A$1:$I$89,3,0)*VLOOKUP('Données projet'!$B$12,Paramètres!$A$1:$I$89,5,0)</f>
        <v>318.82968000000005</v>
      </c>
      <c r="CA111" s="13">
        <f t="shared" si="93"/>
        <v>75.109793924882169</v>
      </c>
      <c r="CB111" s="20">
        <f t="shared" si="64"/>
        <v>686.11125041916978</v>
      </c>
      <c r="CC111" s="59">
        <f t="shared" si="65"/>
        <v>979.44458375250315</v>
      </c>
      <c r="CD111" s="59">
        <f ca="1">AVERAGE(OFFSET($CC$3,0,0,'Données projet'!$E$12+1,1))-AVERAGE(OFFSET($H$3,0,0,'Données projet'!$E$12+1,1))</f>
        <v>303.1504619632214</v>
      </c>
      <c r="CE111" s="59">
        <f t="shared" si="94"/>
        <v>188.09929616366503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0.42501114341625706</v>
      </c>
      <c r="CM111" s="21">
        <f>EXP(-LN(2)/2)*CM110+(1-EXP(-LN(2)/2))/(LN(2)/2)*CG111*CJ111*VLOOKUP('Données projet'!$B$12,Paramètres!$A$1:$I$89,3,0)*0.475*44/12</f>
        <v>1.339356402038721E-11</v>
      </c>
      <c r="CN111" s="22">
        <f t="shared" si="66"/>
        <v>0.42501114342965063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5.6843418860808015E-14</v>
      </c>
      <c r="CU111" s="17">
        <f>CT111*VLOOKUP('Données projet'!$B$13,Paramètres!$A$1:$I$89,3,0)*VLOOKUP('Données projet'!$B$13,Paramètres!$A$1:$I$89,5,0)</f>
        <v>3.813056537183002E-14</v>
      </c>
      <c r="CV111" s="13">
        <f t="shared" si="95"/>
        <v>6.4086286045526829E-13</v>
      </c>
      <c r="CW111" s="20">
        <f t="shared" si="67"/>
        <v>1.1825802166488628E-12</v>
      </c>
      <c r="CX111" s="59">
        <f t="shared" si="68"/>
        <v>293.33333333333451</v>
      </c>
      <c r="CY111" s="59">
        <f ca="1">AVERAGE(OFFSET($CX$3,0,0,'Données projet'!$E$13+1,1))-AVERAGE(OFFSET($H$3,0,0,'Données projet'!$E$13+1,1))</f>
        <v>156.63226020379989</v>
      </c>
      <c r="CZ111" s="59">
        <f t="shared" si="96"/>
        <v>196.0481096619543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0.99724882899317313</v>
      </c>
      <c r="DH111" s="21">
        <f>EXP(-LN(2)/2)*DH110+(1-EXP(-LN(2)/2))/(LN(2)/2)*DB111*DE111*VLOOKUP('Données projet'!$B$13,Paramètres!$A$1:$I$89,3,0)*0.475*44/12</f>
        <v>1.6504547242451451E-11</v>
      </c>
      <c r="DI111" s="22">
        <f t="shared" si="69"/>
        <v>0.99724882900967771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-8.5265128291212022E-14</v>
      </c>
      <c r="DP111" s="17">
        <f>DO111*VLOOKUP('Données projet'!$B$14,Paramètres!$A$1:$I$89,3,0)*VLOOKUP('Données projet'!$B$14,Paramètres!$A$1:$I$89,5,0)</f>
        <v>-7.7147888077888636E-14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225.28075317732998</v>
      </c>
      <c r="DU111" s="59">
        <f t="shared" si="98"/>
        <v>358.43407531256207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0.47870050842065481</v>
      </c>
      <c r="EB111" s="21">
        <f>EXP(-LN(2)/25)*EB110+(1-EXP(-LN(2)/25))/(LN(2)/25)*Calculateur!DW111*Calculateur!DY111*VLOOKUP('Données projet'!$B$14,Paramètres!$A$1:$I$89,3,0)*0.475*44/12</f>
        <v>0.9514805502826682</v>
      </c>
      <c r="EC111" s="21">
        <f>EXP(-LN(2)/2)*EC110+(1-EXP(-LN(2)/2))/(LN(2)/2)*DW111*DZ111*VLOOKUP('Données projet'!$B$14,Paramètres!$A$1:$I$89,3,0)*0.475*44/12</f>
        <v>8.0290576351572302E-12</v>
      </c>
      <c r="ED111" s="22">
        <f t="shared" si="72"/>
        <v>1.4301810587113521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-5.6843418860808015E-13</v>
      </c>
      <c r="EK111" s="17">
        <f>EJ111*VLOOKUP('Données projet'!$B$15,Paramètres!$A$1:$I$89,3,0)*VLOOKUP('Données projet'!$B$15,Paramètres!$A$1:$I$89,5,0)</f>
        <v>-3.177547114319168E-13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326.31232746914907</v>
      </c>
      <c r="EP111" s="59">
        <f t="shared" si="100"/>
        <v>330.17137761430297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0.97466198840451945</v>
      </c>
      <c r="EW111" s="21">
        <f>EXP(-LN(2)/25)*EW110+(1-EXP(-LN(2)/25))/(LN(2)/25)*Calculateur!ER111*Calculateur!ET111*VLOOKUP('Données projet'!$B$15,Paramètres!$A$1:$I$89,3,0)*0.475*44/12</f>
        <v>3.470596797456222</v>
      </c>
      <c r="EX111" s="21">
        <f>EXP(-LN(2)/2)*EX110+(1-EXP(-LN(2)/2))/(LN(2)/2)*ER111*EU111*VLOOKUP('Données projet'!$B$15,Paramètres!$A$1:$I$89,3,0)*0.475*44/12</f>
        <v>5.9157334127003636E-11</v>
      </c>
      <c r="EY111" s="22">
        <f t="shared" si="75"/>
        <v>4.4452587859198989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255.41017495879987</v>
      </c>
      <c r="FK111" s="59">
        <f t="shared" si="102"/>
        <v>297.50513563712764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1.7803550908699881</v>
      </c>
      <c r="FR111" s="21">
        <f>EXP(-LN(2)/25)*FR110+(1-EXP(-LN(2)/25))/(LN(2)/25)*Calculateur!FM111*Calculateur!FO111*VLOOKUP('Données projet'!$B$16,Paramètres!$A$1:$I$89,3,0)*0.475*44/12</f>
        <v>3.2056885113952016</v>
      </c>
      <c r="FS111" s="21">
        <f>EXP(-LN(2)/2)*FS110+(1-EXP(-LN(2)/2))/(LN(2)/2)*FM111*FP111*VLOOKUP('Données projet'!$B$16,Paramètres!$A$1:$I$89,3,0)*0.475*44/12</f>
        <v>4.438550811193978E-11</v>
      </c>
      <c r="FT111" s="22">
        <f t="shared" si="78"/>
        <v>4.9860436023095751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1.1368683772161603E-13</v>
      </c>
      <c r="GA111" s="17">
        <f>FZ111*VLOOKUP('Données projet'!$B$17,Paramètres!$A$1:$I$89,3,0)*VLOOKUP('Données projet'!$B$17,Paramètres!$A$1:$I$89,5,0)</f>
        <v>6.7984728957526396E-14</v>
      </c>
      <c r="GB111" s="13">
        <f t="shared" si="103"/>
        <v>1.0682447123141398E-12</v>
      </c>
      <c r="GC111" s="20">
        <f t="shared" si="79"/>
        <v>1.978932943548152E-12</v>
      </c>
      <c r="GD111" s="59">
        <f t="shared" si="80"/>
        <v>293.3333333333353</v>
      </c>
      <c r="GE111" s="59">
        <f ca="1">AVERAGE(OFFSET($GD$3,0,0,'Données projet'!$E$17+1,1))-AVERAGE(OFFSET($H$3,0,0,'Données projet'!$E$17+1,1))</f>
        <v>259.30247982593914</v>
      </c>
      <c r="GF111" s="59">
        <f t="shared" si="104"/>
        <v>275.24740346220779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</v>
      </c>
      <c r="GM111" s="21">
        <f>EXP(-LN(2)/25)*GM110+(1-EXP(-LN(2)/25))/(LN(2)/25)*Calculateur!GH111*Calculateur!GJ111*VLOOKUP('Données projet'!$B$17,Paramètres!$A$1:$I$89,3,0)*0.475*44/12</f>
        <v>2.0742194869502337</v>
      </c>
      <c r="GN111" s="21">
        <f>EXP(-LN(2)/2)*GN110+(1-EXP(-LN(2)/2))/(LN(2)/2)*GH111*GK111*VLOOKUP('Données projet'!$B$17,Paramètres!$A$1:$I$89,3,0)*0.475*44/12</f>
        <v>5.2169471349525405E-11</v>
      </c>
      <c r="GO111" s="21">
        <f t="shared" si="81"/>
        <v>2.0742194870024031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5.6843418860808015E-14</v>
      </c>
      <c r="GV111" s="17">
        <f>GU111*VLOOKUP('Données projet'!$B$18,Paramètres!$A$1:$I$89,3,0)*VLOOKUP('Données projet'!$B$18,Paramètres!$A$1:$I$89,5,0)</f>
        <v>4.5224624045658861E-14</v>
      </c>
      <c r="GW111" s="13">
        <f t="shared" si="105"/>
        <v>7.4514601661523691E-13</v>
      </c>
      <c r="GX111" s="20">
        <f t="shared" si="82"/>
        <v>1.3765621991510601E-12</v>
      </c>
      <c r="GY111" s="59">
        <f t="shared" si="83"/>
        <v>293.33333333333468</v>
      </c>
      <c r="GZ111" s="59">
        <f ca="1">AVERAGE(OFFSET($GY$3,0,0,'Données projet'!$E$18+1,1))-AVERAGE(OFFSET($H$3,0,0,'Données projet'!$E$18+1,1))</f>
        <v>199.58763537752952</v>
      </c>
      <c r="HA111" s="59">
        <f t="shared" si="106"/>
        <v>242.62852778451929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0</v>
      </c>
      <c r="HH111" s="21">
        <f>EXP(-LN(2)/25)*HH110+(1-EXP(-LN(2)/25))/(LN(2)/25)*Calculateur!HC111*Calculateur!HE111*VLOOKUP('Données projet'!$B$18,Paramètres!$A$1:$I$89,3,0)*0.475*44/12</f>
        <v>1.1827834948523674</v>
      </c>
      <c r="HI111" s="21">
        <f>EXP(-LN(2)/2)*HI110+(1-EXP(-LN(2)/2))/(LN(2)/2)*HC111*HF111*VLOOKUP('Données projet'!$B$18,Paramètres!$A$1:$I$89,3,0)*0.475*44/12</f>
        <v>1.9575160682907553E-11</v>
      </c>
      <c r="HJ111" s="22">
        <f t="shared" si="84"/>
        <v>1.1827834948719427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4.4000000000000004</v>
      </c>
      <c r="N112" s="13">
        <f>IF('Données projet'!$A$36&gt;35,N111+M112-V111,IF(A112&lt;'Données projet'!$A$36,$K$205^A112,IF(A112='Données projet'!$A$36,'Données projet'!$B$36,N111+M112-V111)))</f>
        <v>300.60000000000002</v>
      </c>
      <c r="O112" s="13">
        <f>N112*VLOOKUP('Données projet'!$B$9,Paramètres!$A$1:$I$89,3,0)*VLOOKUP('Données projet'!$B$9,Paramètres!$A$1:$I$89,5,0)</f>
        <v>271.98288000000002</v>
      </c>
      <c r="P112" s="13">
        <f t="shared" si="87"/>
        <v>65.269907092018755</v>
      </c>
      <c r="Q112" s="20">
        <f t="shared" si="107"/>
        <v>587.38193751859933</v>
      </c>
      <c r="R112" s="59">
        <f t="shared" si="55"/>
        <v>880.7152708519327</v>
      </c>
      <c r="S112" s="59">
        <f ca="1">AVERAGE(OFFSET($R$3,0,0,'Données projet'!$E$9+1,1))-AVERAGE(OFFSET($H$3,0,0,'Données projet'!$E$9+1,1))</f>
        <v>237.22177246688199</v>
      </c>
      <c r="T112" s="59">
        <f t="shared" si="88"/>
        <v>149.27472147904302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0.3474865666413352</v>
      </c>
      <c r="AB112" s="21">
        <f>EXP(-LN(2)/2)*AB111+(1-EXP(-LN(2)/2))/(LN(2)/2)*V112*Y112*VLOOKUP('Données projet'!$B$9,Paramètres!$A$1:$I$89,3,0)*0.475*44/12</f>
        <v>7.9608614014227883E-12</v>
      </c>
      <c r="AC112" s="22">
        <f t="shared" si="57"/>
        <v>0.34748656664929606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4.4000000000000004</v>
      </c>
      <c r="AI112" s="13">
        <f>IF('Données projet'!$A$62&gt;35,AI111+AH112-AQ111,IF(A112&lt;'Données projet'!$A$62,$AF$205^A112,IF(A112='Données projet'!$A$62,'Données projet'!$B$62,AI111+AH112-AQ111)))</f>
        <v>300.60000000000002</v>
      </c>
      <c r="AJ112" s="13">
        <f>AI112*VLOOKUP('Données projet'!$B$10,Paramètres!$A$1:$I$89,3,0)*VLOOKUP('Données projet'!$B$10,Paramètres!$A$1:$I$89,5,0)</f>
        <v>304.80840000000001</v>
      </c>
      <c r="AK112" s="13">
        <f t="shared" si="89"/>
        <v>72.183554053972784</v>
      </c>
      <c r="AL112" s="20">
        <f t="shared" si="58"/>
        <v>656.59431997733589</v>
      </c>
      <c r="AM112" s="59">
        <f t="shared" si="59"/>
        <v>949.92765331066926</v>
      </c>
      <c r="AN112" s="59">
        <f ca="1">AVERAGE(OFFSET($AM$3,0,0,'Données projet'!$E$10+1,1))-AVERAGE(OFFSET($H$3,0,0,'Données projet'!$E$10+1,1))</f>
        <v>279.20364724206644</v>
      </c>
      <c r="AO112" s="59">
        <f t="shared" si="90"/>
        <v>173.99850582760712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0.38942460054632372</v>
      </c>
      <c r="AW112" s="21">
        <f>EXP(-LN(2)/2)*AW111+(1-EXP(-LN(2)/2))/(LN(2)/2)*AQ112*AT112*VLOOKUP('Données projet'!$B$10,Paramètres!$A$1:$I$89,3,0)*0.475*44/12</f>
        <v>8.9216550188358821E-12</v>
      </c>
      <c r="AX112" s="21">
        <f t="shared" si="60"/>
        <v>0.38942460055524536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-5.3205440053716299E-14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215.23235148064941</v>
      </c>
      <c r="BJ112" s="59">
        <f t="shared" si="92"/>
        <v>184.07239726900434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0.65571010375714001</v>
      </c>
      <c r="BQ112" s="21">
        <f>EXP(-LN(2)/25)*BQ111+(1-EXP(-LN(2)/25))/(LN(2)/25)*Calculateur!BL112*Calculateur!BN112*VLOOKUP('Données projet'!$B$11,Paramètres!$A$1:$I$89,3,0)*0.475*44/12</f>
        <v>0.87885469257561855</v>
      </c>
      <c r="BR112" s="21">
        <f>EXP(-LN(2)/2)*BR111+(1-EXP(-LN(2)/2))/(LN(2)/2)*BL112*BO112*VLOOKUP('Données projet'!$B$11,Paramètres!$A$1:$I$89,3,0)*0.475*44/12</f>
        <v>1.2646339497296462E-11</v>
      </c>
      <c r="BS112" s="22">
        <f t="shared" si="63"/>
        <v>1.5345647963454048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4.4000000000000004</v>
      </c>
      <c r="BY112" s="12">
        <f>IF('Données projet'!$A$114&gt;35,BY111+BX112-CG111,IF(A112&lt;'Données projet'!$A$114,$BV$205^A112,IF(A112='Données projet'!$A$114,'Données projet'!$B$114,BY111+BX112-CG111)))</f>
        <v>300.60000000000002</v>
      </c>
      <c r="BZ112" s="13">
        <f>BY112*VLOOKUP('Données projet'!$B$12,Paramètres!$A$1:$I$89,3,0)*VLOOKUP('Données projet'!$B$12,Paramètres!$A$1:$I$89,5,0)</f>
        <v>323.56583999999998</v>
      </c>
      <c r="CA112" s="13">
        <f t="shared" si="93"/>
        <v>76.09481682904439</v>
      </c>
      <c r="CB112" s="20">
        <f t="shared" si="64"/>
        <v>696.07564397725218</v>
      </c>
      <c r="CC112" s="59">
        <f t="shared" si="65"/>
        <v>989.40897731058544</v>
      </c>
      <c r="CD112" s="59">
        <f ca="1">AVERAGE(OFFSET($CC$3,0,0,'Données projet'!$E$12+1,1))-AVERAGE(OFFSET($H$3,0,0,'Données projet'!$E$12+1,1))</f>
        <v>303.1504619632214</v>
      </c>
      <c r="CE112" s="59">
        <f t="shared" si="94"/>
        <v>188.09929616366503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0.41338919134917484</v>
      </c>
      <c r="CM112" s="21">
        <f>EXP(-LN(2)/2)*CM111+(1-EXP(-LN(2)/2))/(LN(2)/2)*CG112*CJ112*VLOOKUP('Données projet'!$B$12,Paramètres!$A$1:$I$89,3,0)*0.475*44/12</f>
        <v>9.4706799430719542E-12</v>
      </c>
      <c r="CN112" s="22">
        <f t="shared" si="66"/>
        <v>0.41338919135864555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5.6843418860808015E-14</v>
      </c>
      <c r="CU112" s="17">
        <f>CT112*VLOOKUP('Données projet'!$B$13,Paramètres!$A$1:$I$89,3,0)*VLOOKUP('Données projet'!$B$13,Paramètres!$A$1:$I$89,5,0)</f>
        <v>3.813056537183002E-14</v>
      </c>
      <c r="CV112" s="13">
        <f t="shared" si="95"/>
        <v>6.4086286045526829E-13</v>
      </c>
      <c r="CW112" s="20">
        <f t="shared" si="67"/>
        <v>1.1825802166488628E-12</v>
      </c>
      <c r="CX112" s="59">
        <f t="shared" si="68"/>
        <v>293.33333333333451</v>
      </c>
      <c r="CY112" s="59">
        <f ca="1">AVERAGE(OFFSET($CX$3,0,0,'Données projet'!$E$13+1,1))-AVERAGE(OFFSET($H$3,0,0,'Données projet'!$E$13+1,1))</f>
        <v>156.63226020379989</v>
      </c>
      <c r="CZ112" s="59">
        <f t="shared" si="96"/>
        <v>196.0481096619543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0.96997900732131814</v>
      </c>
      <c r="DH112" s="21">
        <f>EXP(-LN(2)/2)*DH111+(1-EXP(-LN(2)/2))/(LN(2)/2)*DB112*DE112*VLOOKUP('Données projet'!$B$13,Paramètres!$A$1:$I$89,3,0)*0.475*44/12</f>
        <v>1.1670477275551155E-11</v>
      </c>
      <c r="DI112" s="22">
        <f t="shared" si="69"/>
        <v>0.96997900733298859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-8.5265128291212022E-14</v>
      </c>
      <c r="DP112" s="17">
        <f>DO112*VLOOKUP('Données projet'!$B$14,Paramètres!$A$1:$I$89,3,0)*VLOOKUP('Données projet'!$B$14,Paramètres!$A$1:$I$89,5,0)</f>
        <v>-7.7147888077888636E-14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225.28075317732998</v>
      </c>
      <c r="DU112" s="59">
        <f t="shared" si="98"/>
        <v>358.43407531256207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0.46931348342900542</v>
      </c>
      <c r="EB112" s="21">
        <f>EXP(-LN(2)/25)*EB111+(1-EXP(-LN(2)/25))/(LN(2)/25)*Calculateur!DW112*Calculateur!DY112*VLOOKUP('Données projet'!$B$14,Paramètres!$A$1:$I$89,3,0)*0.475*44/12</f>
        <v>0.92546226459900116</v>
      </c>
      <c r="EC112" s="21">
        <f>EXP(-LN(2)/2)*EC111+(1-EXP(-LN(2)/2))/(LN(2)/2)*DW112*DZ112*VLOOKUP('Données projet'!$B$14,Paramètres!$A$1:$I$89,3,0)*0.475*44/12</f>
        <v>5.6774011003573023E-12</v>
      </c>
      <c r="ED112" s="22">
        <f t="shared" si="72"/>
        <v>1.394775748033684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-5.6843418860808015E-13</v>
      </c>
      <c r="EK112" s="17">
        <f>EJ112*VLOOKUP('Données projet'!$B$15,Paramètres!$A$1:$I$89,3,0)*VLOOKUP('Données projet'!$B$15,Paramètres!$A$1:$I$89,5,0)</f>
        <v>-3.177547114319168E-13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326.31232746914907</v>
      </c>
      <c r="EP112" s="59">
        <f t="shared" si="100"/>
        <v>330.17137761430297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0.95554946129701923</v>
      </c>
      <c r="EW112" s="21">
        <f>EXP(-LN(2)/25)*EW111+(1-EXP(-LN(2)/25))/(LN(2)/25)*Calculateur!ER112*Calculateur!ET112*VLOOKUP('Données projet'!$B$15,Paramètres!$A$1:$I$89,3,0)*0.475*44/12</f>
        <v>3.375693145519028</v>
      </c>
      <c r="EX112" s="21">
        <f>EXP(-LN(2)/2)*EX111+(1-EXP(-LN(2)/2))/(LN(2)/2)*ER112*EU112*VLOOKUP('Données projet'!$B$15,Paramètres!$A$1:$I$89,3,0)*0.475*44/12</f>
        <v>4.183055211812264E-11</v>
      </c>
      <c r="EY112" s="22">
        <f t="shared" si="75"/>
        <v>4.3312426068578782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255.41017495879987</v>
      </c>
      <c r="FK112" s="59">
        <f t="shared" si="102"/>
        <v>297.50513563712764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1.7454434134474084</v>
      </c>
      <c r="FR112" s="21">
        <f>EXP(-LN(2)/25)*FR111+(1-EXP(-LN(2)/25))/(LN(2)/25)*Calculateur!FM112*Calculateur!FO112*VLOOKUP('Données projet'!$B$16,Paramètres!$A$1:$I$89,3,0)*0.475*44/12</f>
        <v>3.1180287904712678</v>
      </c>
      <c r="FS112" s="21">
        <f>EXP(-LN(2)/2)*FS111+(1-EXP(-LN(2)/2))/(LN(2)/2)*FM112*FP112*VLOOKUP('Données projet'!$B$16,Paramètres!$A$1:$I$89,3,0)*0.475*44/12</f>
        <v>3.1385293772363132E-11</v>
      </c>
      <c r="FT112" s="22">
        <f t="shared" si="78"/>
        <v>4.863472203950062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1.1368683772161603E-13</v>
      </c>
      <c r="GA112" s="17">
        <f>FZ112*VLOOKUP('Données projet'!$B$17,Paramètres!$A$1:$I$89,3,0)*VLOOKUP('Données projet'!$B$17,Paramètres!$A$1:$I$89,5,0)</f>
        <v>6.7984728957526396E-14</v>
      </c>
      <c r="GB112" s="13">
        <f t="shared" si="103"/>
        <v>1.0682447123141398E-12</v>
      </c>
      <c r="GC112" s="20">
        <f t="shared" si="79"/>
        <v>1.978932943548152E-12</v>
      </c>
      <c r="GD112" s="59">
        <f t="shared" si="80"/>
        <v>293.3333333333353</v>
      </c>
      <c r="GE112" s="59">
        <f ca="1">AVERAGE(OFFSET($GD$3,0,0,'Données projet'!$E$17+1,1))-AVERAGE(OFFSET($H$3,0,0,'Données projet'!$E$17+1,1))</f>
        <v>259.30247982593914</v>
      </c>
      <c r="GF112" s="59">
        <f t="shared" si="104"/>
        <v>275.24740346220779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</v>
      </c>
      <c r="GM112" s="21">
        <f>EXP(-LN(2)/25)*GM111+(1-EXP(-LN(2)/25))/(LN(2)/25)*Calculateur!GH112*Calculateur!GJ112*VLOOKUP('Données projet'!$B$17,Paramètres!$A$1:$I$89,3,0)*0.475*44/12</f>
        <v>2.0174998460011175</v>
      </c>
      <c r="GN112" s="21">
        <f>EXP(-LN(2)/2)*GN111+(1-EXP(-LN(2)/2))/(LN(2)/2)*GH112*GK112*VLOOKUP('Données projet'!$B$17,Paramètres!$A$1:$I$89,3,0)*0.475*44/12</f>
        <v>3.688938696216672E-11</v>
      </c>
      <c r="GO112" s="21">
        <f t="shared" si="81"/>
        <v>2.0174998460380071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5.6843418860808015E-14</v>
      </c>
      <c r="GV112" s="17">
        <f>GU112*VLOOKUP('Données projet'!$B$18,Paramètres!$A$1:$I$89,3,0)*VLOOKUP('Données projet'!$B$18,Paramètres!$A$1:$I$89,5,0)</f>
        <v>4.5224624045658861E-14</v>
      </c>
      <c r="GW112" s="13">
        <f t="shared" si="105"/>
        <v>7.4514601661523691E-13</v>
      </c>
      <c r="GX112" s="20">
        <f t="shared" si="82"/>
        <v>1.3765621991510601E-12</v>
      </c>
      <c r="GY112" s="59">
        <f t="shared" si="83"/>
        <v>293.33333333333468</v>
      </c>
      <c r="GZ112" s="59">
        <f ca="1">AVERAGE(OFFSET($GY$3,0,0,'Données projet'!$E$18+1,1))-AVERAGE(OFFSET($H$3,0,0,'Données projet'!$E$18+1,1))</f>
        <v>199.58763537752952</v>
      </c>
      <c r="HA112" s="59">
        <f t="shared" si="106"/>
        <v>242.62852778451929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0</v>
      </c>
      <c r="HH112" s="21">
        <f>EXP(-LN(2)/25)*HH111+(1-EXP(-LN(2)/25))/(LN(2)/25)*Calculateur!HC112*Calculateur!HE112*VLOOKUP('Données projet'!$B$18,Paramètres!$A$1:$I$89,3,0)*0.475*44/12</f>
        <v>1.1504402179857487</v>
      </c>
      <c r="HI112" s="21">
        <f>EXP(-LN(2)/2)*HI111+(1-EXP(-LN(2)/2))/(LN(2)/2)*HC112*HF112*VLOOKUP('Données projet'!$B$18,Paramètres!$A$1:$I$89,3,0)*0.475*44/12</f>
        <v>1.384172886170022E-11</v>
      </c>
      <c r="HJ112" s="22">
        <f t="shared" si="84"/>
        <v>1.1504402179995905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305</v>
      </c>
      <c r="L113" s="12">
        <f>VLOOKUP(A113,'Données projet'!$A$35:$I$55,9,0)</f>
        <v>4.4000000000000004</v>
      </c>
      <c r="M113" s="12">
        <f t="array" ref="M113">INDEX(L:L,MIN(IF(ISNUMBER(L113:L309),ROW(L113:L309),"")))</f>
        <v>4.4000000000000004</v>
      </c>
      <c r="N113" s="13">
        <f>IF('Données projet'!$A$36&gt;35,N112+M113-V112,IF(A113&lt;'Données projet'!$A$36,$K$205^A113,IF(A113='Données projet'!$A$36,'Données projet'!$B$36,N112+M113-V112)))</f>
        <v>305</v>
      </c>
      <c r="O113" s="13">
        <f>N113*VLOOKUP('Données projet'!$B$9,Paramètres!$A$1:$I$89,3,0)*VLOOKUP('Données projet'!$B$9,Paramètres!$A$1:$I$89,5,0)</f>
        <v>275.964</v>
      </c>
      <c r="P113" s="13">
        <f t="shared" si="87"/>
        <v>66.113366665488911</v>
      </c>
      <c r="Q113" s="20">
        <f t="shared" si="107"/>
        <v>595.7847469423931</v>
      </c>
      <c r="R113" s="59">
        <f t="shared" si="55"/>
        <v>889.11808027572647</v>
      </c>
      <c r="S113" s="59">
        <f ca="1">AVERAGE(OFFSET($R$3,0,0,'Données projet'!$E$9+1,1))-AVERAGE(OFFSET($H$3,0,0,'Données projet'!$E$9+1,1))</f>
        <v>237.22177246688199</v>
      </c>
      <c r="T113" s="59">
        <f t="shared" si="88"/>
        <v>149.27472147904302</v>
      </c>
      <c r="U113" s="15">
        <f>IF(ISNA(VLOOKUP(A113,'Données projet'!$A$35:$I$55,3,0)),0,VLOOKUP(A113,'Données projet'!$A$35:$I$55,3,0))</f>
        <v>9</v>
      </c>
      <c r="V113" s="15">
        <f>IF(ISNA(VLOOKUP(A113,'Données projet'!$A$35:$I$55,4,0)),0,VLOOKUP(A113,'Données projet'!$A$35:$I$55,4,0))</f>
        <v>39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0.33798452820300356</v>
      </c>
      <c r="AB113" s="21">
        <f>EXP(-LN(2)/2)*AB112+(1-EXP(-LN(2)/2))/(LN(2)/2)*V113*Y113*VLOOKUP('Données projet'!$B$9,Paramètres!$A$1:$I$89,3,0)*0.475*44/12</f>
        <v>5.6291790810322957E-12</v>
      </c>
      <c r="AC113" s="22">
        <f t="shared" si="57"/>
        <v>0.33798452820863273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305</v>
      </c>
      <c r="AG113" s="12">
        <f>VLOOKUP(A113,'Données projet'!$A$61:$I$81,9,0)</f>
        <v>4.4000000000000004</v>
      </c>
      <c r="AH113" s="12">
        <f t="array" ref="AH113">INDEX(AG:AG,MIN(IF(ISNUMBER(AG113:AG309),ROW(AG113:AG309),"")))</f>
        <v>4.4000000000000004</v>
      </c>
      <c r="AI113" s="13">
        <f>IF('Données projet'!$A$62&gt;35,AI112+AH113-AQ112,IF(A113&lt;'Données projet'!$A$62,$AF$205^A113,IF(A113='Données projet'!$A$62,'Données projet'!$B$62,AI112+AH113-AQ112)))</f>
        <v>305</v>
      </c>
      <c r="AJ113" s="13">
        <f>AI113*VLOOKUP('Données projet'!$B$10,Paramètres!$A$1:$I$89,3,0)*VLOOKUP('Données projet'!$B$10,Paramètres!$A$1:$I$89,5,0)</f>
        <v>309.27000000000004</v>
      </c>
      <c r="AK113" s="13">
        <f t="shared" si="89"/>
        <v>73.116356204711096</v>
      </c>
      <c r="AL113" s="20">
        <f t="shared" si="58"/>
        <v>665.9895703898718</v>
      </c>
      <c r="AM113" s="59">
        <f t="shared" si="59"/>
        <v>959.32290372320517</v>
      </c>
      <c r="AN113" s="59">
        <f ca="1">AVERAGE(OFFSET($AM$3,0,0,'Données projet'!$E$10+1,1))-AVERAGE(OFFSET($H$3,0,0,'Données projet'!$E$10+1,1))</f>
        <v>279.20364724206644</v>
      </c>
      <c r="AO113" s="59">
        <f t="shared" si="90"/>
        <v>173.99850582760712</v>
      </c>
      <c r="AP113" s="15">
        <f>IF(ISNA(VLOOKUP(A113,'Données projet'!$A$61:$I$81,3,0)),0,VLOOKUP(A113,'Données projet'!$A$61:$I$81,3,0))</f>
        <v>9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0.37877576436543481</v>
      </c>
      <c r="AW113" s="21">
        <f>EXP(-LN(2)/2)*AW112+(1-EXP(-LN(2)/2))/(LN(2)/2)*AQ113*AT113*VLOOKUP('Données projet'!$B$10,Paramètres!$A$1:$I$89,3,0)*0.475*44/12</f>
        <v>6.3085627632258477E-12</v>
      </c>
      <c r="AX113" s="21">
        <f t="shared" si="60"/>
        <v>0.37877576437174337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-5.3205440053716299E-14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215.23235148064941</v>
      </c>
      <c r="BJ113" s="59">
        <f t="shared" si="92"/>
        <v>184.07239726900434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0.64285202856613466</v>
      </c>
      <c r="BQ113" s="21">
        <f>EXP(-LN(2)/25)*BQ112+(1-EXP(-LN(2)/25))/(LN(2)/25)*Calculateur!BL113*Calculateur!BN113*VLOOKUP('Données projet'!$B$11,Paramètres!$A$1:$I$89,3,0)*0.475*44/12</f>
        <v>0.85482236479017859</v>
      </c>
      <c r="BR113" s="21">
        <f>EXP(-LN(2)/2)*BR112+(1-EXP(-LN(2)/2))/(LN(2)/2)*BL113*BO113*VLOOKUP('Données projet'!$B$11,Paramètres!$A$1:$I$89,3,0)*0.475*44/12</f>
        <v>8.9423124157256024E-12</v>
      </c>
      <c r="BS113" s="22">
        <f t="shared" si="63"/>
        <v>1.4976743933652557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305</v>
      </c>
      <c r="BW113" s="12">
        <f>VLOOKUP(A113,'Données projet'!$A$113:$I$133,9,0)</f>
        <v>4.4000000000000004</v>
      </c>
      <c r="BX113" s="12">
        <f t="array" ref="BX113">INDEX(BW:BW,MIN(IF(ISNUMBER(BW113:BW309),ROW(BW113:BW309),"")))</f>
        <v>4.4000000000000004</v>
      </c>
      <c r="BY113" s="12">
        <f>IF('Données projet'!$A$114&gt;35,BY112+BX113-CG112,IF(A113&lt;'Données projet'!$A$114,$BV$205^A113,IF(A113='Données projet'!$A$114,'Données projet'!$B$114,BY112+BX113-CG112)))</f>
        <v>305</v>
      </c>
      <c r="BZ113" s="13">
        <f>BY113*VLOOKUP('Données projet'!$B$12,Paramètres!$A$1:$I$89,3,0)*VLOOKUP('Données projet'!$B$12,Paramètres!$A$1:$I$89,5,0)</f>
        <v>328.30200000000002</v>
      </c>
      <c r="CA113" s="13">
        <f t="shared" si="93"/>
        <v>77.078162824242838</v>
      </c>
      <c r="CB113" s="20">
        <f t="shared" si="64"/>
        <v>706.03711691888964</v>
      </c>
      <c r="CC113" s="59">
        <f t="shared" si="65"/>
        <v>999.37045025222301</v>
      </c>
      <c r="CD113" s="59">
        <f ca="1">AVERAGE(OFFSET($CC$3,0,0,'Données projet'!$E$12+1,1))-AVERAGE(OFFSET($H$3,0,0,'Données projet'!$E$12+1,1))</f>
        <v>303.1504619632214</v>
      </c>
      <c r="CE113" s="59">
        <f t="shared" si="94"/>
        <v>188.09929616366503</v>
      </c>
      <c r="CF113" s="15">
        <f>IF(ISNA(VLOOKUP(A113,'Données projet'!$A$113:$I$133,3,0)),0,VLOOKUP(A113,'Données projet'!$A$113:$I$133,3,0))</f>
        <v>9</v>
      </c>
      <c r="CG113" s="15">
        <f>IF(ISNA(VLOOKUP(A113,'Données projet'!$A$113:$I$133,4,0)),0,VLOOKUP(A113,'Données projet'!$A$113:$I$133,4,0))</f>
        <v>39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0.40208504217253888</v>
      </c>
      <c r="CM113" s="21">
        <f>EXP(-LN(2)/2)*CM112+(1-EXP(-LN(2)/2))/(LN(2)/2)*CG113*CJ113*VLOOKUP('Données projet'!$B$12,Paramètres!$A$1:$I$89,3,0)*0.475*44/12</f>
        <v>6.6967820101936048E-12</v>
      </c>
      <c r="CN113" s="22">
        <f t="shared" si="66"/>
        <v>0.40208504217923569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5.6843418860808015E-14</v>
      </c>
      <c r="CU113" s="17">
        <f>CT113*VLOOKUP('Données projet'!$B$13,Paramètres!$A$1:$I$89,3,0)*VLOOKUP('Données projet'!$B$13,Paramètres!$A$1:$I$89,5,0)</f>
        <v>3.813056537183002E-14</v>
      </c>
      <c r="CV113" s="13">
        <f t="shared" si="95"/>
        <v>6.4086286045526829E-13</v>
      </c>
      <c r="CW113" s="20">
        <f t="shared" si="67"/>
        <v>1.1825802166488628E-12</v>
      </c>
      <c r="CX113" s="59">
        <f t="shared" si="68"/>
        <v>293.33333333333451</v>
      </c>
      <c r="CY113" s="59">
        <f ca="1">AVERAGE(OFFSET($CX$3,0,0,'Données projet'!$E$13+1,1))-AVERAGE(OFFSET($H$3,0,0,'Données projet'!$E$13+1,1))</f>
        <v>156.63226020379989</v>
      </c>
      <c r="CZ113" s="59">
        <f t="shared" si="96"/>
        <v>196.0481096619543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0.94345488035713765</v>
      </c>
      <c r="DH113" s="21">
        <f>EXP(-LN(2)/2)*DH112+(1-EXP(-LN(2)/2))/(LN(2)/2)*DB113*DE113*VLOOKUP('Données projet'!$B$13,Paramètres!$A$1:$I$89,3,0)*0.475*44/12</f>
        <v>8.2522736212257255E-12</v>
      </c>
      <c r="DI113" s="22">
        <f t="shared" si="69"/>
        <v>0.94345488036538994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-8.5265128291212022E-14</v>
      </c>
      <c r="DP113" s="17">
        <f>DO113*VLOOKUP('Données projet'!$B$14,Paramètres!$A$1:$I$89,3,0)*VLOOKUP('Données projet'!$B$14,Paramètres!$A$1:$I$89,5,0)</f>
        <v>-7.7147888077888636E-14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225.28075317732998</v>
      </c>
      <c r="DU113" s="59">
        <f t="shared" si="98"/>
        <v>358.43407531256207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0.46011053227192239</v>
      </c>
      <c r="EB113" s="21">
        <f>EXP(-LN(2)/25)*EB112+(1-EXP(-LN(2)/25))/(LN(2)/25)*Calculateur!DW113*Calculateur!DY113*VLOOKUP('Données projet'!$B$14,Paramètres!$A$1:$I$89,3,0)*0.475*44/12</f>
        <v>0.90015545030559618</v>
      </c>
      <c r="EC113" s="21">
        <f>EXP(-LN(2)/2)*EC112+(1-EXP(-LN(2)/2))/(LN(2)/2)*DW113*DZ113*VLOOKUP('Données projet'!$B$14,Paramètres!$A$1:$I$89,3,0)*0.475*44/12</f>
        <v>4.0145288175786151E-12</v>
      </c>
      <c r="ED113" s="22">
        <f t="shared" si="72"/>
        <v>1.3602659825815331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-5.6843418860808015E-13</v>
      </c>
      <c r="EK113" s="17">
        <f>EJ113*VLOOKUP('Données projet'!$B$15,Paramètres!$A$1:$I$89,3,0)*VLOOKUP('Données projet'!$B$15,Paramètres!$A$1:$I$89,5,0)</f>
        <v>-3.177547114319168E-13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326.31232746914907</v>
      </c>
      <c r="EP113" s="59">
        <f t="shared" si="100"/>
        <v>330.17137761430297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0.93681171918860662</v>
      </c>
      <c r="EW113" s="21">
        <f>EXP(-LN(2)/25)*EW112+(1-EXP(-LN(2)/25))/(LN(2)/25)*Calculateur!ER113*Calculateur!ET113*VLOOKUP('Données projet'!$B$15,Paramètres!$A$1:$I$89,3,0)*0.475*44/12</f>
        <v>3.2833846389348227</v>
      </c>
      <c r="EX113" s="21">
        <f>EXP(-LN(2)/2)*EX112+(1-EXP(-LN(2)/2))/(LN(2)/2)*ER113*EU113*VLOOKUP('Données projet'!$B$15,Paramètres!$A$1:$I$89,3,0)*0.475*44/12</f>
        <v>2.9578667063501818E-11</v>
      </c>
      <c r="EY113" s="22">
        <f t="shared" si="75"/>
        <v>4.2201963581530082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255.41017495879987</v>
      </c>
      <c r="FK113" s="59">
        <f t="shared" si="102"/>
        <v>297.50513563712764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1.7112163327250649</v>
      </c>
      <c r="FR113" s="21">
        <f>EXP(-LN(2)/25)*FR112+(1-EXP(-LN(2)/25))/(LN(2)/25)*Calculateur!FM113*Calculateur!FO113*VLOOKUP('Données projet'!$B$16,Paramètres!$A$1:$I$89,3,0)*0.475*44/12</f>
        <v>3.0327661292258234</v>
      </c>
      <c r="FS113" s="21">
        <f>EXP(-LN(2)/2)*FS112+(1-EXP(-LN(2)/2))/(LN(2)/2)*FM113*FP113*VLOOKUP('Données projet'!$B$16,Paramètres!$A$1:$I$89,3,0)*0.475*44/12</f>
        <v>2.219275405596989E-11</v>
      </c>
      <c r="FT113" s="22">
        <f t="shared" si="78"/>
        <v>4.743982461973081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1.1368683772161603E-13</v>
      </c>
      <c r="GA113" s="17">
        <f>FZ113*VLOOKUP('Données projet'!$B$17,Paramètres!$A$1:$I$89,3,0)*VLOOKUP('Données projet'!$B$17,Paramètres!$A$1:$I$89,5,0)</f>
        <v>6.7984728957526396E-14</v>
      </c>
      <c r="GB113" s="13">
        <f t="shared" si="103"/>
        <v>1.0682447123141398E-12</v>
      </c>
      <c r="GC113" s="20">
        <f t="shared" si="79"/>
        <v>1.978932943548152E-12</v>
      </c>
      <c r="GD113" s="59">
        <f t="shared" si="80"/>
        <v>293.3333333333353</v>
      </c>
      <c r="GE113" s="59">
        <f ca="1">AVERAGE(OFFSET($GD$3,0,0,'Données projet'!$E$17+1,1))-AVERAGE(OFFSET($H$3,0,0,'Données projet'!$E$17+1,1))</f>
        <v>259.30247982593914</v>
      </c>
      <c r="GF113" s="59">
        <f t="shared" si="104"/>
        <v>275.24740346220779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</v>
      </c>
      <c r="GM113" s="21">
        <f>EXP(-LN(2)/25)*GM112+(1-EXP(-LN(2)/25))/(LN(2)/25)*Calculateur!GH113*Calculateur!GJ113*VLOOKUP('Données projet'!$B$17,Paramètres!$A$1:$I$89,3,0)*0.475*44/12</f>
        <v>1.9623312066165111</v>
      </c>
      <c r="GN113" s="21">
        <f>EXP(-LN(2)/2)*GN112+(1-EXP(-LN(2)/2))/(LN(2)/2)*GH113*GK113*VLOOKUP('Données projet'!$B$17,Paramètres!$A$1:$I$89,3,0)*0.475*44/12</f>
        <v>2.6084735674762702E-11</v>
      </c>
      <c r="GO113" s="21">
        <f t="shared" si="81"/>
        <v>1.9623312066425957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5.6843418860808015E-14</v>
      </c>
      <c r="GV113" s="17">
        <f>GU113*VLOOKUP('Données projet'!$B$18,Paramètres!$A$1:$I$89,3,0)*VLOOKUP('Données projet'!$B$18,Paramètres!$A$1:$I$89,5,0)</f>
        <v>4.5224624045658861E-14</v>
      </c>
      <c r="GW113" s="13">
        <f t="shared" si="105"/>
        <v>7.4514601661523691E-13</v>
      </c>
      <c r="GX113" s="20">
        <f t="shared" si="82"/>
        <v>1.3765621991510601E-12</v>
      </c>
      <c r="GY113" s="59">
        <f t="shared" si="83"/>
        <v>293.33333333333468</v>
      </c>
      <c r="GZ113" s="59">
        <f ca="1">AVERAGE(OFFSET($GY$3,0,0,'Données projet'!$E$18+1,1))-AVERAGE(OFFSET($H$3,0,0,'Données projet'!$E$18+1,1))</f>
        <v>199.58763537752952</v>
      </c>
      <c r="HA113" s="59">
        <f t="shared" si="106"/>
        <v>242.62852778451929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0</v>
      </c>
      <c r="HH113" s="21">
        <f>EXP(-LN(2)/25)*HH112+(1-EXP(-LN(2)/25))/(LN(2)/25)*Calculateur!HC113*Calculateur!HE113*VLOOKUP('Données projet'!$B$18,Paramètres!$A$1:$I$89,3,0)*0.475*44/12</f>
        <v>1.1189813697259068</v>
      </c>
      <c r="HI113" s="21">
        <f>EXP(-LN(2)/2)*HI112+(1-EXP(-LN(2)/2))/(LN(2)/2)*HC113*HF113*VLOOKUP('Données projet'!$B$18,Paramètres!$A$1:$I$89,3,0)*0.475*44/12</f>
        <v>9.7875803414537767E-12</v>
      </c>
      <c r="HJ113" s="22">
        <f t="shared" si="84"/>
        <v>1.1189813697356943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3.7</v>
      </c>
      <c r="N114" s="13">
        <f>IF('Données projet'!$A$36&gt;35,N113+M114-V113,IF(A114&lt;'Données projet'!$A$36,$K$205^A114,IF(A114='Données projet'!$A$36,'Données projet'!$B$36,N113+M114-V113)))</f>
        <v>269.7</v>
      </c>
      <c r="O114" s="13">
        <f>N114*VLOOKUP('Données projet'!$B$9,Paramètres!$A$1:$I$89,3,0)*VLOOKUP('Données projet'!$B$9,Paramètres!$A$1:$I$89,5,0)</f>
        <v>244.02455999999998</v>
      </c>
      <c r="P114" s="13">
        <f t="shared" si="87"/>
        <v>59.304594314969279</v>
      </c>
      <c r="Q114" s="20">
        <f t="shared" si="107"/>
        <v>528.29827709857148</v>
      </c>
      <c r="R114" s="59">
        <f t="shared" si="55"/>
        <v>821.63161043190485</v>
      </c>
      <c r="S114" s="59">
        <f ca="1">AVERAGE(OFFSET($R$3,0,0,'Données projet'!$E$9+1,1))-AVERAGE(OFFSET($H$3,0,0,'Données projet'!$E$9+1,1))</f>
        <v>237.22177246688199</v>
      </c>
      <c r="T114" s="59">
        <f t="shared" si="88"/>
        <v>149.27472147904302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0.32874232350545857</v>
      </c>
      <c r="AB114" s="21">
        <f>EXP(-LN(2)/2)*AB113+(1-EXP(-LN(2)/2))/(LN(2)/2)*V114*Y114*VLOOKUP('Données projet'!$B$9,Paramètres!$A$1:$I$89,3,0)*0.475*44/12</f>
        <v>3.9804307007113941E-12</v>
      </c>
      <c r="AC114" s="22">
        <f t="shared" si="57"/>
        <v>0.32874232350943899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269.7</v>
      </c>
      <c r="AJ114" s="13">
        <f>AI114*VLOOKUP('Données projet'!$B$10,Paramètres!$A$1:$I$89,3,0)*VLOOKUP('Données projet'!$B$10,Paramètres!$A$1:$I$89,5,0)</f>
        <v>273.47579999999999</v>
      </c>
      <c r="AK114" s="13">
        <f t="shared" si="89"/>
        <v>65.586371730977589</v>
      </c>
      <c r="AL114" s="20">
        <f t="shared" si="58"/>
        <v>590.53328243145256</v>
      </c>
      <c r="AM114" s="59">
        <f t="shared" si="59"/>
        <v>883.86661576478582</v>
      </c>
      <c r="AN114" s="59">
        <f ca="1">AVERAGE(OFFSET($AM$3,0,0,'Données projet'!$E$10+1,1))-AVERAGE(OFFSET($H$3,0,0,'Données projet'!$E$10+1,1))</f>
        <v>279.20364724206644</v>
      </c>
      <c r="AO114" s="59">
        <f t="shared" si="90"/>
        <v>173.99850582760712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0.36841812116991024</v>
      </c>
      <c r="AW114" s="21">
        <f>EXP(-LN(2)/2)*AW113+(1-EXP(-LN(2)/2))/(LN(2)/2)*AQ114*AT114*VLOOKUP('Données projet'!$B$10,Paramètres!$A$1:$I$89,3,0)*0.475*44/12</f>
        <v>4.4608275094179411E-12</v>
      </c>
      <c r="AX114" s="21">
        <f t="shared" si="60"/>
        <v>0.36841812117437106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-5.3205440053716299E-14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215.23235148064941</v>
      </c>
      <c r="BJ114" s="59">
        <f t="shared" si="92"/>
        <v>184.07239726900434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0.63024609238697338</v>
      </c>
      <c r="BQ114" s="21">
        <f>EXP(-LN(2)/25)*BQ113+(1-EXP(-LN(2)/25))/(LN(2)/25)*Calculateur!BL114*Calculateur!BN114*VLOOKUP('Données projet'!$B$11,Paramètres!$A$1:$I$89,3,0)*0.475*44/12</f>
        <v>0.83144720227183666</v>
      </c>
      <c r="BR114" s="21">
        <f>EXP(-LN(2)/2)*BR113+(1-EXP(-LN(2)/2))/(LN(2)/2)*BL114*BO114*VLOOKUP('Données projet'!$B$11,Paramètres!$A$1:$I$89,3,0)*0.475*44/12</f>
        <v>6.3231697486482308E-12</v>
      </c>
      <c r="BS114" s="22">
        <f t="shared" si="63"/>
        <v>1.4616932946651333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3.7</v>
      </c>
      <c r="BY114" s="12">
        <f>IF('Données projet'!$A$114&gt;35,BY113+BX114-CG113,IF(A114&lt;'Données projet'!$A$114,$BV$205^A114,IF(A114='Données projet'!$A$114,'Données projet'!$B$114,BY113+BX114-CG113)))</f>
        <v>269.7</v>
      </c>
      <c r="BZ114" s="13">
        <f>BY114*VLOOKUP('Données projet'!$B$12,Paramètres!$A$1:$I$89,3,0)*VLOOKUP('Données projet'!$B$12,Paramètres!$A$1:$I$89,5,0)</f>
        <v>290.30507999999998</v>
      </c>
      <c r="CA114" s="13">
        <f t="shared" si="93"/>
        <v>69.140166465323489</v>
      </c>
      <c r="CB114" s="20">
        <f t="shared" si="64"/>
        <v>626.03380426043839</v>
      </c>
      <c r="CC114" s="59">
        <f t="shared" si="65"/>
        <v>919.36713759377176</v>
      </c>
      <c r="CD114" s="59">
        <f ca="1">AVERAGE(OFFSET($CC$3,0,0,'Données projet'!$E$12+1,1))-AVERAGE(OFFSET($H$3,0,0,'Données projet'!$E$12+1,1))</f>
        <v>303.1504619632214</v>
      </c>
      <c r="CE114" s="59">
        <f t="shared" si="94"/>
        <v>188.09929616366503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0.39109000554959739</v>
      </c>
      <c r="CM114" s="21">
        <f>EXP(-LN(2)/2)*CM113+(1-EXP(-LN(2)/2))/(LN(2)/2)*CG114*CJ114*VLOOKUP('Données projet'!$B$12,Paramètres!$A$1:$I$89,3,0)*0.475*44/12</f>
        <v>4.7353399715359771E-12</v>
      </c>
      <c r="CN114" s="22">
        <f t="shared" si="66"/>
        <v>0.39109000555433271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5.6843418860808015E-14</v>
      </c>
      <c r="CU114" s="17">
        <f>CT114*VLOOKUP('Données projet'!$B$13,Paramètres!$A$1:$I$89,3,0)*VLOOKUP('Données projet'!$B$13,Paramètres!$A$1:$I$89,5,0)</f>
        <v>3.813056537183002E-14</v>
      </c>
      <c r="CV114" s="13">
        <f t="shared" si="95"/>
        <v>6.4086286045526829E-13</v>
      </c>
      <c r="CW114" s="20">
        <f t="shared" si="67"/>
        <v>1.1825802166488628E-12</v>
      </c>
      <c r="CX114" s="59">
        <f t="shared" si="68"/>
        <v>293.33333333333451</v>
      </c>
      <c r="CY114" s="59">
        <f ca="1">AVERAGE(OFFSET($CX$3,0,0,'Données projet'!$E$13+1,1))-AVERAGE(OFFSET($H$3,0,0,'Données projet'!$E$13+1,1))</f>
        <v>156.63226020379989</v>
      </c>
      <c r="CZ114" s="59">
        <f t="shared" si="96"/>
        <v>196.0481096619543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0.91765605703963582</v>
      </c>
      <c r="DH114" s="21">
        <f>EXP(-LN(2)/2)*DH113+(1-EXP(-LN(2)/2))/(LN(2)/2)*DB114*DE114*VLOOKUP('Données projet'!$B$13,Paramètres!$A$1:$I$89,3,0)*0.475*44/12</f>
        <v>5.8352386377755773E-12</v>
      </c>
      <c r="DI114" s="22">
        <f t="shared" si="69"/>
        <v>0.91765605704547104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-8.5265128291212022E-14</v>
      </c>
      <c r="DP114" s="17">
        <f>DO114*VLOOKUP('Données projet'!$B$14,Paramètres!$A$1:$I$89,3,0)*VLOOKUP('Données projet'!$B$14,Paramètres!$A$1:$I$89,5,0)</f>
        <v>-7.7147888077888636E-14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225.28075317732998</v>
      </c>
      <c r="DU114" s="59">
        <f t="shared" si="98"/>
        <v>358.43407531256207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0.45108804537378383</v>
      </c>
      <c r="EB114" s="21">
        <f>EXP(-LN(2)/25)*EB113+(1-EXP(-LN(2)/25))/(LN(2)/25)*Calculateur!DW114*Calculateur!DY114*VLOOKUP('Données projet'!$B$14,Paramètres!$A$1:$I$89,3,0)*0.475*44/12</f>
        <v>0.87554065217987187</v>
      </c>
      <c r="EC114" s="21">
        <f>EXP(-LN(2)/2)*EC113+(1-EXP(-LN(2)/2))/(LN(2)/2)*DW114*DZ114*VLOOKUP('Données projet'!$B$14,Paramètres!$A$1:$I$89,3,0)*0.475*44/12</f>
        <v>2.8387005501786511E-12</v>
      </c>
      <c r="ED114" s="22">
        <f t="shared" si="72"/>
        <v>1.3266286975564943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-5.6843418860808015E-13</v>
      </c>
      <c r="EK114" s="17">
        <f>EJ114*VLOOKUP('Données projet'!$B$15,Paramètres!$A$1:$I$89,3,0)*VLOOKUP('Données projet'!$B$15,Paramètres!$A$1:$I$89,5,0)</f>
        <v>-3.177547114319168E-13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326.31232746914907</v>
      </c>
      <c r="EP114" s="59">
        <f t="shared" si="100"/>
        <v>330.17137761430297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0.91844141277404578</v>
      </c>
      <c r="EW114" s="21">
        <f>EXP(-LN(2)/25)*EW113+(1-EXP(-LN(2)/25))/(LN(2)/25)*Calculateur!ER114*Calculateur!ET114*VLOOKUP('Données projet'!$B$15,Paramètres!$A$1:$I$89,3,0)*0.475*44/12</f>
        <v>3.193600313317456</v>
      </c>
      <c r="EX114" s="21">
        <f>EXP(-LN(2)/2)*EX113+(1-EXP(-LN(2)/2))/(LN(2)/2)*ER114*EU114*VLOOKUP('Données projet'!$B$15,Paramètres!$A$1:$I$89,3,0)*0.475*44/12</f>
        <v>2.091527605906132E-11</v>
      </c>
      <c r="EY114" s="22">
        <f t="shared" si="75"/>
        <v>4.1120417261124178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255.41017495879987</v>
      </c>
      <c r="FK114" s="59">
        <f t="shared" si="102"/>
        <v>297.50513563712764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1.6776604241792288</v>
      </c>
      <c r="FR114" s="21">
        <f>EXP(-LN(2)/25)*FR113+(1-EXP(-LN(2)/25))/(LN(2)/25)*Calculateur!FM114*Calculateur!FO114*VLOOKUP('Données projet'!$B$16,Paramètres!$A$1:$I$89,3,0)*0.475*44/12</f>
        <v>2.949834979935904</v>
      </c>
      <c r="FS114" s="21">
        <f>EXP(-LN(2)/2)*FS113+(1-EXP(-LN(2)/2))/(LN(2)/2)*FM114*FP114*VLOOKUP('Données projet'!$B$16,Paramètres!$A$1:$I$89,3,0)*0.475*44/12</f>
        <v>1.5692646886181566E-11</v>
      </c>
      <c r="FT114" s="22">
        <f t="shared" si="78"/>
        <v>4.6274954041308254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1.1368683772161603E-13</v>
      </c>
      <c r="GA114" s="17">
        <f>FZ114*VLOOKUP('Données projet'!$B$17,Paramètres!$A$1:$I$89,3,0)*VLOOKUP('Données projet'!$B$17,Paramètres!$A$1:$I$89,5,0)</f>
        <v>6.7984728957526396E-14</v>
      </c>
      <c r="GB114" s="13">
        <f t="shared" si="103"/>
        <v>1.0682447123141398E-12</v>
      </c>
      <c r="GC114" s="20">
        <f t="shared" si="79"/>
        <v>1.978932943548152E-12</v>
      </c>
      <c r="GD114" s="59">
        <f t="shared" si="80"/>
        <v>293.3333333333353</v>
      </c>
      <c r="GE114" s="59">
        <f ca="1">AVERAGE(OFFSET($GD$3,0,0,'Données projet'!$E$17+1,1))-AVERAGE(OFFSET($H$3,0,0,'Données projet'!$E$17+1,1))</f>
        <v>259.30247982593914</v>
      </c>
      <c r="GF114" s="59">
        <f t="shared" si="104"/>
        <v>275.24740346220779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</v>
      </c>
      <c r="GM114" s="21">
        <f>EXP(-LN(2)/25)*GM113+(1-EXP(-LN(2)/25))/(LN(2)/25)*Calculateur!GH114*Calculateur!GJ114*VLOOKUP('Données projet'!$B$17,Paramètres!$A$1:$I$89,3,0)*0.475*44/12</f>
        <v>1.9086711565770693</v>
      </c>
      <c r="GN114" s="21">
        <f>EXP(-LN(2)/2)*GN113+(1-EXP(-LN(2)/2))/(LN(2)/2)*GH114*GK114*VLOOKUP('Données projet'!$B$17,Paramètres!$A$1:$I$89,3,0)*0.475*44/12</f>
        <v>1.844469348108336E-11</v>
      </c>
      <c r="GO114" s="21">
        <f t="shared" si="81"/>
        <v>1.9086711565955141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5.6843418860808015E-14</v>
      </c>
      <c r="GV114" s="17">
        <f>GU114*VLOOKUP('Données projet'!$B$18,Paramètres!$A$1:$I$89,3,0)*VLOOKUP('Données projet'!$B$18,Paramètres!$A$1:$I$89,5,0)</f>
        <v>4.5224624045658861E-14</v>
      </c>
      <c r="GW114" s="13">
        <f t="shared" si="105"/>
        <v>7.4514601661523691E-13</v>
      </c>
      <c r="GX114" s="20">
        <f t="shared" si="82"/>
        <v>1.3765621991510601E-12</v>
      </c>
      <c r="GY114" s="59">
        <f t="shared" si="83"/>
        <v>293.33333333333468</v>
      </c>
      <c r="GZ114" s="59">
        <f ca="1">AVERAGE(OFFSET($GY$3,0,0,'Données projet'!$E$18+1,1))-AVERAGE(OFFSET($H$3,0,0,'Données projet'!$E$18+1,1))</f>
        <v>199.58763537752952</v>
      </c>
      <c r="HA114" s="59">
        <f t="shared" si="106"/>
        <v>242.62852778451929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0</v>
      </c>
      <c r="HH114" s="21">
        <f>EXP(-LN(2)/25)*HH113+(1-EXP(-LN(2)/25))/(LN(2)/25)*Calculateur!HC114*Calculateur!HE114*VLOOKUP('Données projet'!$B$18,Paramètres!$A$1:$I$89,3,0)*0.475*44/12</f>
        <v>1.0883827653260791</v>
      </c>
      <c r="HI114" s="21">
        <f>EXP(-LN(2)/2)*HI113+(1-EXP(-LN(2)/2))/(LN(2)/2)*HC114*HF114*VLOOKUP('Données projet'!$B$18,Paramètres!$A$1:$I$89,3,0)*0.475*44/12</f>
        <v>6.9208644308501099E-12</v>
      </c>
      <c r="HJ114" s="22">
        <f t="shared" si="84"/>
        <v>1.088382765333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3.7</v>
      </c>
      <c r="N115" s="13">
        <f>IF('Données projet'!$A$36&gt;35,N114+M115-V114,IF(A115&lt;'Données projet'!$A$36,$K$205^A115,IF(A115='Données projet'!$A$36,'Données projet'!$B$36,N114+M115-V114)))</f>
        <v>273.39999999999998</v>
      </c>
      <c r="O115" s="13">
        <f>N115*VLOOKUP('Données projet'!$B$9,Paramètres!$A$1:$I$89,3,0)*VLOOKUP('Données projet'!$B$9,Paramètres!$A$1:$I$89,5,0)</f>
        <v>247.37231999999997</v>
      </c>
      <c r="P115" s="13">
        <f t="shared" si="87"/>
        <v>60.022917171131049</v>
      </c>
      <c r="Q115" s="20">
        <f t="shared" si="107"/>
        <v>535.38003807305324</v>
      </c>
      <c r="R115" s="59">
        <f t="shared" si="55"/>
        <v>828.71337140638661</v>
      </c>
      <c r="S115" s="59">
        <f ca="1">AVERAGE(OFFSET($R$3,0,0,'Données projet'!$E$9+1,1))-AVERAGE(OFFSET($H$3,0,0,'Données projet'!$E$9+1,1))</f>
        <v>237.22177246688199</v>
      </c>
      <c r="T115" s="59">
        <f t="shared" si="88"/>
        <v>149.27472147904302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0.31975284738139437</v>
      </c>
      <c r="AB115" s="21">
        <f>EXP(-LN(2)/2)*AB114+(1-EXP(-LN(2)/2))/(LN(2)/2)*V115*Y115*VLOOKUP('Données projet'!$B$9,Paramètres!$A$1:$I$89,3,0)*0.475*44/12</f>
        <v>2.8145895405161479E-12</v>
      </c>
      <c r="AC115" s="22">
        <f t="shared" si="57"/>
        <v>0.31975284738420895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273.39999999999998</v>
      </c>
      <c r="AJ115" s="13">
        <f>AI115*VLOOKUP('Données projet'!$B$10,Paramètres!$A$1:$I$89,3,0)*VLOOKUP('Données projet'!$B$10,Paramètres!$A$1:$I$89,5,0)</f>
        <v>277.2276</v>
      </c>
      <c r="AK115" s="13">
        <f t="shared" si="89"/>
        <v>66.380782187895448</v>
      </c>
      <c r="AL115" s="20">
        <f t="shared" si="58"/>
        <v>598.45126564391796</v>
      </c>
      <c r="AM115" s="59">
        <f t="shared" si="59"/>
        <v>891.78459897725133</v>
      </c>
      <c r="AN115" s="59">
        <f ca="1">AVERAGE(OFFSET($AM$3,0,0,'Données projet'!$E$10+1,1))-AVERAGE(OFFSET($H$3,0,0,'Données projet'!$E$10+1,1))</f>
        <v>279.20364724206644</v>
      </c>
      <c r="AO115" s="59">
        <f t="shared" si="90"/>
        <v>173.99850582760712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0.35834370827225209</v>
      </c>
      <c r="AW115" s="21">
        <f>EXP(-LN(2)/2)*AW114+(1-EXP(-LN(2)/2))/(LN(2)/2)*AQ115*AT115*VLOOKUP('Données projet'!$B$10,Paramètres!$A$1:$I$89,3,0)*0.475*44/12</f>
        <v>3.1542813816129238E-12</v>
      </c>
      <c r="AX115" s="21">
        <f t="shared" si="60"/>
        <v>0.35834370827540635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-5.3205440053716299E-14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215.23235148064941</v>
      </c>
      <c r="BJ115" s="59">
        <f t="shared" si="92"/>
        <v>184.07239726900434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0.61788735092742364</v>
      </c>
      <c r="BQ115" s="21">
        <f>EXP(-LN(2)/25)*BQ114+(1-EXP(-LN(2)/25))/(LN(2)/25)*Calculateur!BL115*Calculateur!BN115*VLOOKUP('Données projet'!$B$11,Paramètres!$A$1:$I$89,3,0)*0.475*44/12</f>
        <v>0.80871123480180518</v>
      </c>
      <c r="BR115" s="21">
        <f>EXP(-LN(2)/2)*BR114+(1-EXP(-LN(2)/2))/(LN(2)/2)*BL115*BO115*VLOOKUP('Données projet'!$B$11,Paramètres!$A$1:$I$89,3,0)*0.475*44/12</f>
        <v>4.4711562078628012E-12</v>
      </c>
      <c r="BS115" s="22">
        <f t="shared" si="63"/>
        <v>1.4265985857337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3.7</v>
      </c>
      <c r="BY115" s="12">
        <f>IF('Données projet'!$A$114&gt;35,BY114+BX115-CG114,IF(A115&lt;'Données projet'!$A$114,$BV$205^A115,IF(A115='Données projet'!$A$114,'Données projet'!$B$114,BY114+BX115-CG114)))</f>
        <v>273.39999999999998</v>
      </c>
      <c r="BZ115" s="13">
        <f>BY115*VLOOKUP('Données projet'!$B$12,Paramètres!$A$1:$I$89,3,0)*VLOOKUP('Données projet'!$B$12,Paramètres!$A$1:$I$89,5,0)</f>
        <v>294.28775999999993</v>
      </c>
      <c r="CA115" s="13">
        <f t="shared" si="93"/>
        <v>69.977622018717796</v>
      </c>
      <c r="CB115" s="20">
        <f t="shared" si="64"/>
        <v>634.42887368260006</v>
      </c>
      <c r="CC115" s="59">
        <f t="shared" si="65"/>
        <v>927.76220701593343</v>
      </c>
      <c r="CD115" s="59">
        <f ca="1">AVERAGE(OFFSET($CC$3,0,0,'Données projet'!$E$12+1,1))-AVERAGE(OFFSET($H$3,0,0,'Données projet'!$E$12+1,1))</f>
        <v>303.1504619632214</v>
      </c>
      <c r="CE115" s="59">
        <f t="shared" si="94"/>
        <v>188.09929616366503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0.38039562878131411</v>
      </c>
      <c r="CM115" s="21">
        <f>EXP(-LN(2)/2)*CM114+(1-EXP(-LN(2)/2))/(LN(2)/2)*CG115*CJ115*VLOOKUP('Données projet'!$B$12,Paramètres!$A$1:$I$89,3,0)*0.475*44/12</f>
        <v>3.3483910050968024E-12</v>
      </c>
      <c r="CN115" s="22">
        <f t="shared" si="66"/>
        <v>0.38039562878466249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5.6843418860808015E-14</v>
      </c>
      <c r="CU115" s="17">
        <f>CT115*VLOOKUP('Données projet'!$B$13,Paramètres!$A$1:$I$89,3,0)*VLOOKUP('Données projet'!$B$13,Paramètres!$A$1:$I$89,5,0)</f>
        <v>3.813056537183002E-14</v>
      </c>
      <c r="CV115" s="13">
        <f t="shared" si="95"/>
        <v>6.4086286045526829E-13</v>
      </c>
      <c r="CW115" s="20">
        <f t="shared" si="67"/>
        <v>1.1825802166488628E-12</v>
      </c>
      <c r="CX115" s="59">
        <f t="shared" si="68"/>
        <v>293.33333333333451</v>
      </c>
      <c r="CY115" s="59">
        <f ca="1">AVERAGE(OFFSET($CX$3,0,0,'Données projet'!$E$13+1,1))-AVERAGE(OFFSET($H$3,0,0,'Données projet'!$E$13+1,1))</f>
        <v>156.63226020379989</v>
      </c>
      <c r="CZ115" s="59">
        <f t="shared" si="96"/>
        <v>196.0481096619543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0.89256270390245229</v>
      </c>
      <c r="DH115" s="21">
        <f>EXP(-LN(2)/2)*DH114+(1-EXP(-LN(2)/2))/(LN(2)/2)*DB115*DE115*VLOOKUP('Données projet'!$B$13,Paramètres!$A$1:$I$89,3,0)*0.475*44/12</f>
        <v>4.1261368106128628E-12</v>
      </c>
      <c r="DI115" s="22">
        <f t="shared" si="69"/>
        <v>0.89256270390657844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-8.5265128291212022E-14</v>
      </c>
      <c r="DP115" s="17">
        <f>DO115*VLOOKUP('Données projet'!$B$14,Paramètres!$A$1:$I$89,3,0)*VLOOKUP('Données projet'!$B$14,Paramètres!$A$1:$I$89,5,0)</f>
        <v>-7.7147888077888636E-14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225.28075317732998</v>
      </c>
      <c r="DU115" s="59">
        <f t="shared" si="98"/>
        <v>358.43407531256207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0.44224248394054411</v>
      </c>
      <c r="EB115" s="21">
        <f>EXP(-LN(2)/25)*EB114+(1-EXP(-LN(2)/25))/(LN(2)/25)*Calculateur!DW115*Calculateur!DY115*VLOOKUP('Données projet'!$B$14,Paramètres!$A$1:$I$89,3,0)*0.475*44/12</f>
        <v>0.8515989470033315</v>
      </c>
      <c r="EC115" s="21">
        <f>EXP(-LN(2)/2)*EC114+(1-EXP(-LN(2)/2))/(LN(2)/2)*DW115*DZ115*VLOOKUP('Données projet'!$B$14,Paramètres!$A$1:$I$89,3,0)*0.475*44/12</f>
        <v>2.0072644087893075E-12</v>
      </c>
      <c r="ED115" s="22">
        <f t="shared" si="72"/>
        <v>1.293841430945883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-5.6843418860808015E-13</v>
      </c>
      <c r="EK115" s="17">
        <f>EJ115*VLOOKUP('Données projet'!$B$15,Paramètres!$A$1:$I$89,3,0)*VLOOKUP('Données projet'!$B$15,Paramètres!$A$1:$I$89,5,0)</f>
        <v>-3.177547114319168E-13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326.31232746914907</v>
      </c>
      <c r="EP115" s="59">
        <f t="shared" si="100"/>
        <v>330.17137761430297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0.90043133686349397</v>
      </c>
      <c r="EW115" s="21">
        <f>EXP(-LN(2)/25)*EW114+(1-EXP(-LN(2)/25))/(LN(2)/25)*Calculateur!ER115*Calculateur!ET115*VLOOKUP('Données projet'!$B$15,Paramètres!$A$1:$I$89,3,0)*0.475*44/12</f>
        <v>3.1062711448056488</v>
      </c>
      <c r="EX115" s="21">
        <f>EXP(-LN(2)/2)*EX114+(1-EXP(-LN(2)/2))/(LN(2)/2)*ER115*EU115*VLOOKUP('Données projet'!$B$15,Paramètres!$A$1:$I$89,3,0)*0.475*44/12</f>
        <v>1.4789333531750909E-11</v>
      </c>
      <c r="EY115" s="22">
        <f t="shared" si="75"/>
        <v>4.0067024816839316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255.41017495879987</v>
      </c>
      <c r="FK115" s="59">
        <f t="shared" si="102"/>
        <v>297.50513563712764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1.6447625265328931</v>
      </c>
      <c r="FR115" s="21">
        <f>EXP(-LN(2)/25)*FR114+(1-EXP(-LN(2)/25))/(LN(2)/25)*Calculateur!FM115*Calculateur!FO115*VLOOKUP('Données projet'!$B$16,Paramètres!$A$1:$I$89,3,0)*0.475*44/12</f>
        <v>2.8691715872844772</v>
      </c>
      <c r="FS115" s="21">
        <f>EXP(-LN(2)/2)*FS114+(1-EXP(-LN(2)/2))/(LN(2)/2)*FM115*FP115*VLOOKUP('Données projet'!$B$16,Paramètres!$A$1:$I$89,3,0)*0.475*44/12</f>
        <v>1.1096377027984945E-11</v>
      </c>
      <c r="FT115" s="22">
        <f t="shared" si="78"/>
        <v>4.5139341138284665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1.1368683772161603E-13</v>
      </c>
      <c r="GA115" s="17">
        <f>FZ115*VLOOKUP('Données projet'!$B$17,Paramètres!$A$1:$I$89,3,0)*VLOOKUP('Données projet'!$B$17,Paramètres!$A$1:$I$89,5,0)</f>
        <v>6.7984728957526396E-14</v>
      </c>
      <c r="GB115" s="13">
        <f t="shared" si="103"/>
        <v>1.0682447123141398E-12</v>
      </c>
      <c r="GC115" s="20">
        <f t="shared" si="79"/>
        <v>1.978932943548152E-12</v>
      </c>
      <c r="GD115" s="59">
        <f t="shared" si="80"/>
        <v>293.3333333333353</v>
      </c>
      <c r="GE115" s="59">
        <f ca="1">AVERAGE(OFFSET($GD$3,0,0,'Données projet'!$E$17+1,1))-AVERAGE(OFFSET($H$3,0,0,'Données projet'!$E$17+1,1))</f>
        <v>259.30247982593914</v>
      </c>
      <c r="GF115" s="59">
        <f t="shared" si="104"/>
        <v>275.24740346220779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</v>
      </c>
      <c r="GM115" s="21">
        <f>EXP(-LN(2)/25)*GM114+(1-EXP(-LN(2)/25))/(LN(2)/25)*Calculateur!GH115*Calculateur!GJ115*VLOOKUP('Données projet'!$B$17,Paramètres!$A$1:$I$89,3,0)*0.475*44/12</f>
        <v>1.8564784434278156</v>
      </c>
      <c r="GN115" s="21">
        <f>EXP(-LN(2)/2)*GN114+(1-EXP(-LN(2)/2))/(LN(2)/2)*GH115*GK115*VLOOKUP('Données projet'!$B$17,Paramètres!$A$1:$I$89,3,0)*0.475*44/12</f>
        <v>1.3042367837381351E-11</v>
      </c>
      <c r="GO115" s="21">
        <f t="shared" si="81"/>
        <v>1.8564784434408581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5.6843418860808015E-14</v>
      </c>
      <c r="GV115" s="17">
        <f>GU115*VLOOKUP('Données projet'!$B$18,Paramètres!$A$1:$I$89,3,0)*VLOOKUP('Données projet'!$B$18,Paramètres!$A$1:$I$89,5,0)</f>
        <v>4.5224624045658861E-14</v>
      </c>
      <c r="GW115" s="13">
        <f t="shared" si="105"/>
        <v>7.4514601661523691E-13</v>
      </c>
      <c r="GX115" s="20">
        <f t="shared" si="82"/>
        <v>1.3765621991510601E-12</v>
      </c>
      <c r="GY115" s="59">
        <f t="shared" si="83"/>
        <v>293.33333333333468</v>
      </c>
      <c r="GZ115" s="59">
        <f ca="1">AVERAGE(OFFSET($GY$3,0,0,'Données projet'!$E$18+1,1))-AVERAGE(OFFSET($H$3,0,0,'Données projet'!$E$18+1,1))</f>
        <v>199.58763537752952</v>
      </c>
      <c r="HA115" s="59">
        <f t="shared" si="106"/>
        <v>242.62852778451929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0</v>
      </c>
      <c r="HH115" s="21">
        <f>EXP(-LN(2)/25)*HH114+(1-EXP(-LN(2)/25))/(LN(2)/25)*Calculateur!HC115*Calculateur!HE115*VLOOKUP('Données projet'!$B$18,Paramètres!$A$1:$I$89,3,0)*0.475*44/12</f>
        <v>1.0586208813726754</v>
      </c>
      <c r="HI115" s="21">
        <f>EXP(-LN(2)/2)*HI114+(1-EXP(-LN(2)/2))/(LN(2)/2)*HC115*HF115*VLOOKUP('Données projet'!$B$18,Paramètres!$A$1:$I$89,3,0)*0.475*44/12</f>
        <v>4.8937901707268883E-12</v>
      </c>
      <c r="HJ115" s="22">
        <f t="shared" si="84"/>
        <v>1.0586208813775693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3.7</v>
      </c>
      <c r="N116" s="13">
        <f>IF('Données projet'!$A$36&gt;35,N115+M116-V115,IF(A116&lt;'Données projet'!$A$36,$K$205^A116,IF(A116='Données projet'!$A$36,'Données projet'!$B$36,N115+M116-V115)))</f>
        <v>277.09999999999997</v>
      </c>
      <c r="O116" s="13">
        <f>N116*VLOOKUP('Données projet'!$B$9,Paramètres!$A$1:$I$89,3,0)*VLOOKUP('Données projet'!$B$9,Paramètres!$A$1:$I$89,5,0)</f>
        <v>250.72007999999994</v>
      </c>
      <c r="P116" s="13">
        <f t="shared" si="87"/>
        <v>60.740109326032758</v>
      </c>
      <c r="Q116" s="20">
        <f t="shared" si="107"/>
        <v>542.45982974284027</v>
      </c>
      <c r="R116" s="59">
        <f t="shared" si="55"/>
        <v>835.79316307617364</v>
      </c>
      <c r="S116" s="59">
        <f ca="1">AVERAGE(OFFSET($R$3,0,0,'Données projet'!$E$9+1,1))-AVERAGE(OFFSET($H$3,0,0,'Données projet'!$E$9+1,1))</f>
        <v>237.22177246688199</v>
      </c>
      <c r="T116" s="59">
        <f t="shared" si="88"/>
        <v>149.27472147904302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0.31100918895467872</v>
      </c>
      <c r="AB116" s="21">
        <f>EXP(-LN(2)/2)*AB115+(1-EXP(-LN(2)/2))/(LN(2)/2)*V116*Y116*VLOOKUP('Données projet'!$B$9,Paramètres!$A$1:$I$89,3,0)*0.475*44/12</f>
        <v>1.9902153503556971E-12</v>
      </c>
      <c r="AC116" s="22">
        <f t="shared" si="57"/>
        <v>0.31100918895666896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277.09999999999997</v>
      </c>
      <c r="AJ116" s="13">
        <f>AI116*VLOOKUP('Données projet'!$B$10,Paramètres!$A$1:$I$89,3,0)*VLOOKUP('Données projet'!$B$10,Paramètres!$A$1:$I$89,5,0)</f>
        <v>280.9794</v>
      </c>
      <c r="AK116" s="13">
        <f t="shared" si="89"/>
        <v>67.173942175199358</v>
      </c>
      <c r="AL116" s="20">
        <f t="shared" si="58"/>
        <v>606.36707095513873</v>
      </c>
      <c r="AM116" s="59">
        <f t="shared" si="59"/>
        <v>899.7004042884721</v>
      </c>
      <c r="AN116" s="59">
        <f ca="1">AVERAGE(OFFSET($AM$3,0,0,'Données projet'!$E$10+1,1))-AVERAGE(OFFSET($H$3,0,0,'Données projet'!$E$10+1,1))</f>
        <v>279.20364724206644</v>
      </c>
      <c r="AO116" s="59">
        <f t="shared" si="90"/>
        <v>173.99850582760712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0.34854478072507072</v>
      </c>
      <c r="AW116" s="21">
        <f>EXP(-LN(2)/2)*AW115+(1-EXP(-LN(2)/2))/(LN(2)/2)*AQ116*AT116*VLOOKUP('Données projet'!$B$10,Paramètres!$A$1:$I$89,3,0)*0.475*44/12</f>
        <v>2.2304137547089705E-12</v>
      </c>
      <c r="AX116" s="21">
        <f t="shared" si="60"/>
        <v>0.34854478072730116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-5.3205440053716299E-14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215.23235148064941</v>
      </c>
      <c r="BJ116" s="59">
        <f t="shared" si="92"/>
        <v>184.07239726900434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0.60577095684980775</v>
      </c>
      <c r="BQ116" s="21">
        <f>EXP(-LN(2)/25)*BQ115+(1-EXP(-LN(2)/25))/(LN(2)/25)*Calculateur!BL116*Calculateur!BN116*VLOOKUP('Données projet'!$B$11,Paramètres!$A$1:$I$89,3,0)*0.475*44/12</f>
        <v>0.78659698355787433</v>
      </c>
      <c r="BR116" s="21">
        <f>EXP(-LN(2)/2)*BR115+(1-EXP(-LN(2)/2))/(LN(2)/2)*BL116*BO116*VLOOKUP('Données projet'!$B$11,Paramètres!$A$1:$I$89,3,0)*0.475*44/12</f>
        <v>3.1615848743241154E-12</v>
      </c>
      <c r="BS116" s="22">
        <f t="shared" si="63"/>
        <v>1.3923679404108438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3.7</v>
      </c>
      <c r="BY116" s="12">
        <f>IF('Données projet'!$A$114&gt;35,BY115+BX116-CG115,IF(A116&lt;'Données projet'!$A$114,$BV$205^A116,IF(A116='Données projet'!$A$114,'Données projet'!$B$114,BY115+BX116-CG115)))</f>
        <v>277.09999999999997</v>
      </c>
      <c r="BZ116" s="13">
        <f>BY116*VLOOKUP('Données projet'!$B$12,Paramètres!$A$1:$I$89,3,0)*VLOOKUP('Données projet'!$B$12,Paramètres!$A$1:$I$89,5,0)</f>
        <v>298.27043999999995</v>
      </c>
      <c r="CA116" s="13">
        <f t="shared" si="93"/>
        <v>70.813759345855971</v>
      </c>
      <c r="CB116" s="20">
        <f t="shared" si="64"/>
        <v>642.82164719403238</v>
      </c>
      <c r="CC116" s="59">
        <f t="shared" si="65"/>
        <v>936.15498052736575</v>
      </c>
      <c r="CD116" s="59">
        <f ca="1">AVERAGE(OFFSET($CC$3,0,0,'Données projet'!$E$12+1,1))-AVERAGE(OFFSET($H$3,0,0,'Données projet'!$E$12+1,1))</f>
        <v>303.1504619632214</v>
      </c>
      <c r="CE116" s="59">
        <f t="shared" si="94"/>
        <v>188.09929616366503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0.36999369030815238</v>
      </c>
      <c r="CM116" s="21">
        <f>EXP(-LN(2)/2)*CM115+(1-EXP(-LN(2)/2))/(LN(2)/2)*CG116*CJ116*VLOOKUP('Données projet'!$B$12,Paramètres!$A$1:$I$89,3,0)*0.475*44/12</f>
        <v>2.3676699857679885E-12</v>
      </c>
      <c r="CN116" s="22">
        <f t="shared" si="66"/>
        <v>0.36999369031052004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5.6843418860808015E-14</v>
      </c>
      <c r="CU116" s="17">
        <f>CT116*VLOOKUP('Données projet'!$B$13,Paramètres!$A$1:$I$89,3,0)*VLOOKUP('Données projet'!$B$13,Paramètres!$A$1:$I$89,5,0)</f>
        <v>3.813056537183002E-14</v>
      </c>
      <c r="CV116" s="13">
        <f t="shared" si="95"/>
        <v>6.4086286045526829E-13</v>
      </c>
      <c r="CW116" s="20">
        <f t="shared" si="67"/>
        <v>1.1825802166488628E-12</v>
      </c>
      <c r="CX116" s="59">
        <f t="shared" si="68"/>
        <v>293.33333333333451</v>
      </c>
      <c r="CY116" s="59">
        <f ca="1">AVERAGE(OFFSET($CX$3,0,0,'Données projet'!$E$13+1,1))-AVERAGE(OFFSET($H$3,0,0,'Données projet'!$E$13+1,1))</f>
        <v>156.63226020379989</v>
      </c>
      <c r="CZ116" s="59">
        <f t="shared" si="96"/>
        <v>196.0481096619543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0.86815552982640709</v>
      </c>
      <c r="DH116" s="21">
        <f>EXP(-LN(2)/2)*DH115+(1-EXP(-LN(2)/2))/(LN(2)/2)*DB116*DE116*VLOOKUP('Données projet'!$B$13,Paramètres!$A$1:$I$89,3,0)*0.475*44/12</f>
        <v>2.9176193188877886E-12</v>
      </c>
      <c r="DI116" s="22">
        <f t="shared" si="69"/>
        <v>0.86815552982932476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-8.5265128291212022E-14</v>
      </c>
      <c r="DP116" s="17">
        <f>DO116*VLOOKUP('Données projet'!$B$14,Paramètres!$A$1:$I$89,3,0)*VLOOKUP('Données projet'!$B$14,Paramètres!$A$1:$I$89,5,0)</f>
        <v>-7.7147888077888636E-14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225.28075317732998</v>
      </c>
      <c r="DU116" s="59">
        <f t="shared" si="98"/>
        <v>358.43407531256207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0.43357037857175051</v>
      </c>
      <c r="EB116" s="21">
        <f>EXP(-LN(2)/25)*EB115+(1-EXP(-LN(2)/25))/(LN(2)/25)*Calculateur!DW116*Calculateur!DY116*VLOOKUP('Données projet'!$B$14,Paramètres!$A$1:$I$89,3,0)*0.475*44/12</f>
        <v>0.82831192901388317</v>
      </c>
      <c r="EC116" s="21">
        <f>EXP(-LN(2)/2)*EC115+(1-EXP(-LN(2)/2))/(LN(2)/2)*DW116*DZ116*VLOOKUP('Données projet'!$B$14,Paramètres!$A$1:$I$89,3,0)*0.475*44/12</f>
        <v>1.4193502750893256E-12</v>
      </c>
      <c r="ED116" s="22">
        <f t="shared" si="72"/>
        <v>1.2618823075870531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-5.6843418860808015E-13</v>
      </c>
      <c r="EK116" s="17">
        <f>EJ116*VLOOKUP('Données projet'!$B$15,Paramètres!$A$1:$I$89,3,0)*VLOOKUP('Données projet'!$B$15,Paramètres!$A$1:$I$89,5,0)</f>
        <v>-3.177547114319168E-13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326.31232746914907</v>
      </c>
      <c r="EP116" s="59">
        <f t="shared" si="100"/>
        <v>330.17137761430297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0.8827744275564865</v>
      </c>
      <c r="EW116" s="21">
        <f>EXP(-LN(2)/25)*EW115+(1-EXP(-LN(2)/25))/(LN(2)/25)*Calculateur!ER116*Calculateur!ET116*VLOOKUP('Données projet'!$B$15,Paramètres!$A$1:$I$89,3,0)*0.475*44/12</f>
        <v>3.0213299969992384</v>
      </c>
      <c r="EX116" s="21">
        <f>EXP(-LN(2)/2)*EX115+(1-EXP(-LN(2)/2))/(LN(2)/2)*ER116*EU116*VLOOKUP('Données projet'!$B$15,Paramètres!$A$1:$I$89,3,0)*0.475*44/12</f>
        <v>1.045763802953066E-11</v>
      </c>
      <c r="EY116" s="22">
        <f t="shared" si="75"/>
        <v>3.9041044245661829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255.41017495879987</v>
      </c>
      <c r="FK116" s="59">
        <f t="shared" si="102"/>
        <v>297.50513563712764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1.6125097365936658</v>
      </c>
      <c r="FR116" s="21">
        <f>EXP(-LN(2)/25)*FR115+(1-EXP(-LN(2)/25))/(LN(2)/25)*Calculateur!FM116*Calculateur!FO116*VLOOKUP('Données projet'!$B$16,Paramètres!$A$1:$I$89,3,0)*0.475*44/12</f>
        <v>2.7907139393470071</v>
      </c>
      <c r="FS116" s="21">
        <f>EXP(-LN(2)/2)*FS115+(1-EXP(-LN(2)/2))/(LN(2)/2)*FM116*FP116*VLOOKUP('Données projet'!$B$16,Paramètres!$A$1:$I$89,3,0)*0.475*44/12</f>
        <v>7.8463234430907829E-12</v>
      </c>
      <c r="FT116" s="22">
        <f t="shared" si="78"/>
        <v>4.403223675948519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1.1368683772161603E-13</v>
      </c>
      <c r="GA116" s="17">
        <f>FZ116*VLOOKUP('Données projet'!$B$17,Paramètres!$A$1:$I$89,3,0)*VLOOKUP('Données projet'!$B$17,Paramètres!$A$1:$I$89,5,0)</f>
        <v>6.7984728957526396E-14</v>
      </c>
      <c r="GB116" s="13">
        <f t="shared" si="103"/>
        <v>1.0682447123141398E-12</v>
      </c>
      <c r="GC116" s="20">
        <f t="shared" si="79"/>
        <v>1.978932943548152E-12</v>
      </c>
      <c r="GD116" s="59">
        <f t="shared" si="80"/>
        <v>293.3333333333353</v>
      </c>
      <c r="GE116" s="59">
        <f ca="1">AVERAGE(OFFSET($GD$3,0,0,'Données projet'!$E$17+1,1))-AVERAGE(OFFSET($H$3,0,0,'Données projet'!$E$17+1,1))</f>
        <v>259.30247982593914</v>
      </c>
      <c r="GF116" s="59">
        <f t="shared" si="104"/>
        <v>275.24740346220779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</v>
      </c>
      <c r="GM116" s="21">
        <f>EXP(-LN(2)/25)*GM115+(1-EXP(-LN(2)/25))/(LN(2)/25)*Calculateur!GH116*Calculateur!GJ116*VLOOKUP('Données projet'!$B$17,Paramètres!$A$1:$I$89,3,0)*0.475*44/12</f>
        <v>1.8057129427643237</v>
      </c>
      <c r="GN116" s="21">
        <f>EXP(-LN(2)/2)*GN115+(1-EXP(-LN(2)/2))/(LN(2)/2)*GH116*GK116*VLOOKUP('Données projet'!$B$17,Paramètres!$A$1:$I$89,3,0)*0.475*44/12</f>
        <v>9.2223467405416799E-12</v>
      </c>
      <c r="GO116" s="21">
        <f t="shared" si="81"/>
        <v>1.8057129427735461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5.6843418860808015E-14</v>
      </c>
      <c r="GV116" s="17">
        <f>GU116*VLOOKUP('Données projet'!$B$18,Paramètres!$A$1:$I$89,3,0)*VLOOKUP('Données projet'!$B$18,Paramètres!$A$1:$I$89,5,0)</f>
        <v>4.5224624045658861E-14</v>
      </c>
      <c r="GW116" s="13">
        <f t="shared" si="105"/>
        <v>7.4514601661523691E-13</v>
      </c>
      <c r="GX116" s="20">
        <f t="shared" si="82"/>
        <v>1.3765621991510601E-12</v>
      </c>
      <c r="GY116" s="59">
        <f t="shared" si="83"/>
        <v>293.33333333333468</v>
      </c>
      <c r="GZ116" s="59">
        <f ca="1">AVERAGE(OFFSET($GY$3,0,0,'Données projet'!$E$18+1,1))-AVERAGE(OFFSET($H$3,0,0,'Données projet'!$E$18+1,1))</f>
        <v>199.58763537752952</v>
      </c>
      <c r="HA116" s="59">
        <f t="shared" si="106"/>
        <v>242.62852778451929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0</v>
      </c>
      <c r="HH116" s="21">
        <f>EXP(-LN(2)/25)*HH115+(1-EXP(-LN(2)/25))/(LN(2)/25)*Calculateur!HC116*Calculateur!HE116*VLOOKUP('Données projet'!$B$18,Paramètres!$A$1:$I$89,3,0)*0.475*44/12</f>
        <v>1.0296728377010869</v>
      </c>
      <c r="HI116" s="21">
        <f>EXP(-LN(2)/2)*HI115+(1-EXP(-LN(2)/2))/(LN(2)/2)*HC116*HF116*VLOOKUP('Données projet'!$B$18,Paramètres!$A$1:$I$89,3,0)*0.475*44/12</f>
        <v>3.4604322154250549E-12</v>
      </c>
      <c r="HJ116" s="22">
        <f t="shared" si="84"/>
        <v>1.0296728377045472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3.7</v>
      </c>
      <c r="N117" s="13">
        <f>IF('Données projet'!$A$36&gt;35,N116+M117-V116,IF(A117&lt;'Données projet'!$A$36,$K$205^A117,IF(A117='Données projet'!$A$36,'Données projet'!$B$36,N116+M117-V116)))</f>
        <v>280.79999999999995</v>
      </c>
      <c r="O117" s="13">
        <f>N117*VLOOKUP('Données projet'!$B$9,Paramètres!$A$1:$I$89,3,0)*VLOOKUP('Données projet'!$B$9,Paramètres!$A$1:$I$89,5,0)</f>
        <v>254.06783999999996</v>
      </c>
      <c r="P117" s="13">
        <f t="shared" si="87"/>
        <v>61.456187622750718</v>
      </c>
      <c r="Q117" s="20">
        <f t="shared" si="107"/>
        <v>549.53768144295748</v>
      </c>
      <c r="R117" s="59">
        <f t="shared" si="55"/>
        <v>842.87101477629085</v>
      </c>
      <c r="S117" s="59">
        <f ca="1">AVERAGE(OFFSET($R$3,0,0,'Données projet'!$E$9+1,1))-AVERAGE(OFFSET($H$3,0,0,'Données projet'!$E$9+1,1))</f>
        <v>237.22177246688199</v>
      </c>
      <c r="T117" s="59">
        <f t="shared" si="88"/>
        <v>149.27472147904302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0.30250462632745062</v>
      </c>
      <c r="AB117" s="21">
        <f>EXP(-LN(2)/2)*AB116+(1-EXP(-LN(2)/2))/(LN(2)/2)*V117*Y117*VLOOKUP('Données projet'!$B$9,Paramètres!$A$1:$I$89,3,0)*0.475*44/12</f>
        <v>1.4072947702580739E-12</v>
      </c>
      <c r="AC117" s="22">
        <f t="shared" si="57"/>
        <v>0.30250462632885794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280.79999999999995</v>
      </c>
      <c r="AJ117" s="13">
        <f>AI117*VLOOKUP('Données projet'!$B$10,Paramètres!$A$1:$I$89,3,0)*VLOOKUP('Données projet'!$B$10,Paramètres!$A$1:$I$89,5,0)</f>
        <v>284.7312</v>
      </c>
      <c r="AK117" s="13">
        <f t="shared" si="89"/>
        <v>67.96587032005101</v>
      </c>
      <c r="AL117" s="20">
        <f t="shared" si="58"/>
        <v>614.28073080742217</v>
      </c>
      <c r="AM117" s="59">
        <f t="shared" si="59"/>
        <v>907.61406414075554</v>
      </c>
      <c r="AN117" s="59">
        <f ca="1">AVERAGE(OFFSET($AM$3,0,0,'Données projet'!$E$10+1,1))-AVERAGE(OFFSET($H$3,0,0,'Données projet'!$E$10+1,1))</f>
        <v>279.20364724206644</v>
      </c>
      <c r="AO117" s="59">
        <f t="shared" si="90"/>
        <v>173.99850582760712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0.33901380536697023</v>
      </c>
      <c r="AW117" s="21">
        <f>EXP(-LN(2)/2)*AW116+(1-EXP(-LN(2)/2))/(LN(2)/2)*AQ117*AT117*VLOOKUP('Données projet'!$B$10,Paramètres!$A$1:$I$89,3,0)*0.475*44/12</f>
        <v>1.5771406908064619E-12</v>
      </c>
      <c r="AX117" s="21">
        <f t="shared" si="60"/>
        <v>0.33901380536854736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-5.3205440053716299E-14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215.23235148064941</v>
      </c>
      <c r="BJ117" s="59">
        <f t="shared" si="92"/>
        <v>184.07239726900434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0.59389215786978322</v>
      </c>
      <c r="BQ117" s="21">
        <f>EXP(-LN(2)/25)*BQ116+(1-EXP(-LN(2)/25))/(LN(2)/25)*Calculateur!BL117*Calculateur!BN117*VLOOKUP('Données projet'!$B$11,Paramètres!$A$1:$I$89,3,0)*0.475*44/12</f>
        <v>0.76508744767714665</v>
      </c>
      <c r="BR117" s="21">
        <f>EXP(-LN(2)/2)*BR116+(1-EXP(-LN(2)/2))/(LN(2)/2)*BL117*BO117*VLOOKUP('Données projet'!$B$11,Paramètres!$A$1:$I$89,3,0)*0.475*44/12</f>
        <v>2.2355781039314006E-12</v>
      </c>
      <c r="BS117" s="22">
        <f t="shared" si="63"/>
        <v>1.3589796055491654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3.7</v>
      </c>
      <c r="BY117" s="12">
        <f>IF('Données projet'!$A$114&gt;35,BY116+BX117-CG116,IF(A117&lt;'Données projet'!$A$114,$BV$205^A117,IF(A117='Données projet'!$A$114,'Données projet'!$B$114,BY116+BX117-CG116)))</f>
        <v>280.79999999999995</v>
      </c>
      <c r="BZ117" s="13">
        <f>BY117*VLOOKUP('Données projet'!$B$12,Paramètres!$A$1:$I$89,3,0)*VLOOKUP('Données projet'!$B$12,Paramètres!$A$1:$I$89,5,0)</f>
        <v>302.25311999999991</v>
      </c>
      <c r="CA117" s="13">
        <f t="shared" si="93"/>
        <v>71.648598083211411</v>
      </c>
      <c r="CB117" s="20">
        <f t="shared" si="64"/>
        <v>651.21215899492643</v>
      </c>
      <c r="CC117" s="59">
        <f t="shared" si="65"/>
        <v>944.5454923282598</v>
      </c>
      <c r="CD117" s="59">
        <f ca="1">AVERAGE(OFFSET($CC$3,0,0,'Données projet'!$E$12+1,1))-AVERAGE(OFFSET($H$3,0,0,'Données projet'!$E$12+1,1))</f>
        <v>303.1504619632214</v>
      </c>
      <c r="CE117" s="59">
        <f t="shared" si="94"/>
        <v>188.09929616366503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0.3598761933895534</v>
      </c>
      <c r="CM117" s="21">
        <f>EXP(-LN(2)/2)*CM116+(1-EXP(-LN(2)/2))/(LN(2)/2)*CG117*CJ117*VLOOKUP('Données projet'!$B$12,Paramètres!$A$1:$I$89,3,0)*0.475*44/12</f>
        <v>1.6741955025484012E-12</v>
      </c>
      <c r="CN117" s="22">
        <f t="shared" si="66"/>
        <v>0.35987619339122762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5.6843418860808015E-14</v>
      </c>
      <c r="CU117" s="17">
        <f>CT117*VLOOKUP('Données projet'!$B$13,Paramètres!$A$1:$I$89,3,0)*VLOOKUP('Données projet'!$B$13,Paramètres!$A$1:$I$89,5,0)</f>
        <v>3.813056537183002E-14</v>
      </c>
      <c r="CV117" s="13">
        <f t="shared" si="95"/>
        <v>6.4086286045526829E-13</v>
      </c>
      <c r="CW117" s="20">
        <f t="shared" si="67"/>
        <v>1.1825802166488628E-12</v>
      </c>
      <c r="CX117" s="59">
        <f t="shared" si="68"/>
        <v>293.33333333333451</v>
      </c>
      <c r="CY117" s="59">
        <f ca="1">AVERAGE(OFFSET($CX$3,0,0,'Données projet'!$E$13+1,1))-AVERAGE(OFFSET($H$3,0,0,'Données projet'!$E$13+1,1))</f>
        <v>156.63226020379989</v>
      </c>
      <c r="CZ117" s="59">
        <f t="shared" si="96"/>
        <v>196.0481096619543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0.84441577120898892</v>
      </c>
      <c r="DH117" s="21">
        <f>EXP(-LN(2)/2)*DH116+(1-EXP(-LN(2)/2))/(LN(2)/2)*DB117*DE117*VLOOKUP('Données projet'!$B$13,Paramètres!$A$1:$I$89,3,0)*0.475*44/12</f>
        <v>2.0630684053064314E-12</v>
      </c>
      <c r="DI117" s="22">
        <f t="shared" si="69"/>
        <v>0.84441577121105194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-8.5265128291212022E-14</v>
      </c>
      <c r="DP117" s="17">
        <f>DO117*VLOOKUP('Données projet'!$B$14,Paramètres!$A$1:$I$89,3,0)*VLOOKUP('Données projet'!$B$14,Paramètres!$A$1:$I$89,5,0)</f>
        <v>-7.7147888077888636E-14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225.28075317732998</v>
      </c>
      <c r="DU117" s="59">
        <f t="shared" si="98"/>
        <v>358.43407531256207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0.42506832789977694</v>
      </c>
      <c r="EB117" s="21">
        <f>EXP(-LN(2)/25)*EB116+(1-EXP(-LN(2)/25))/(LN(2)/25)*Calculateur!DW117*Calculateur!DY117*VLOOKUP('Données projet'!$B$14,Paramètres!$A$1:$I$89,3,0)*0.475*44/12</f>
        <v>0.80566169575596736</v>
      </c>
      <c r="EC117" s="21">
        <f>EXP(-LN(2)/2)*EC116+(1-EXP(-LN(2)/2))/(LN(2)/2)*DW117*DZ117*VLOOKUP('Données projet'!$B$14,Paramètres!$A$1:$I$89,3,0)*0.475*44/12</f>
        <v>1.0036322043946538E-12</v>
      </c>
      <c r="ED117" s="22">
        <f t="shared" si="72"/>
        <v>1.230730023656748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-5.6843418860808015E-13</v>
      </c>
      <c r="EK117" s="17">
        <f>EJ117*VLOOKUP('Données projet'!$B$15,Paramètres!$A$1:$I$89,3,0)*VLOOKUP('Données projet'!$B$15,Paramètres!$A$1:$I$89,5,0)</f>
        <v>-3.177547114319168E-13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326.31232746914907</v>
      </c>
      <c r="EP117" s="59">
        <f t="shared" si="100"/>
        <v>330.17137761430297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0.86546375947133813</v>
      </c>
      <c r="EW117" s="21">
        <f>EXP(-LN(2)/25)*EW116+(1-EXP(-LN(2)/25))/(LN(2)/25)*Calculateur!ER117*Calculateur!ET117*VLOOKUP('Données projet'!$B$15,Paramètres!$A$1:$I$89,3,0)*0.475*44/12</f>
        <v>2.9387115693464549</v>
      </c>
      <c r="EX117" s="21">
        <f>EXP(-LN(2)/2)*EX116+(1-EXP(-LN(2)/2))/(LN(2)/2)*ER117*EU117*VLOOKUP('Données projet'!$B$15,Paramètres!$A$1:$I$89,3,0)*0.475*44/12</f>
        <v>7.3946667658754545E-12</v>
      </c>
      <c r="EY117" s="22">
        <f t="shared" si="75"/>
        <v>3.8041753288251878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255.41017495879987</v>
      </c>
      <c r="FK117" s="59">
        <f t="shared" si="102"/>
        <v>297.50513563712764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1.5808894041928874</v>
      </c>
      <c r="FR117" s="21">
        <f>EXP(-LN(2)/25)*FR116+(1-EXP(-LN(2)/25))/(LN(2)/25)*Calculateur!FM117*Calculateur!FO117*VLOOKUP('Données projet'!$B$16,Paramètres!$A$1:$I$89,3,0)*0.475*44/12</f>
        <v>2.7144017199182953</v>
      </c>
      <c r="FS117" s="21">
        <f>EXP(-LN(2)/2)*FS116+(1-EXP(-LN(2)/2))/(LN(2)/2)*FM117*FP117*VLOOKUP('Données projet'!$B$16,Paramètres!$A$1:$I$89,3,0)*0.475*44/12</f>
        <v>5.5481885139924725E-12</v>
      </c>
      <c r="FT117" s="22">
        <f t="shared" si="78"/>
        <v>4.2952911241167309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1.1368683772161603E-13</v>
      </c>
      <c r="GA117" s="17">
        <f>FZ117*VLOOKUP('Données projet'!$B$17,Paramètres!$A$1:$I$89,3,0)*VLOOKUP('Données projet'!$B$17,Paramètres!$A$1:$I$89,5,0)</f>
        <v>6.7984728957526396E-14</v>
      </c>
      <c r="GB117" s="13">
        <f t="shared" si="103"/>
        <v>1.0682447123141398E-12</v>
      </c>
      <c r="GC117" s="20">
        <f t="shared" si="79"/>
        <v>1.978932943548152E-12</v>
      </c>
      <c r="GD117" s="59">
        <f t="shared" si="80"/>
        <v>293.3333333333353</v>
      </c>
      <c r="GE117" s="59">
        <f ca="1">AVERAGE(OFFSET($GD$3,0,0,'Données projet'!$E$17+1,1))-AVERAGE(OFFSET($H$3,0,0,'Données projet'!$E$17+1,1))</f>
        <v>259.30247982593914</v>
      </c>
      <c r="GF117" s="59">
        <f t="shared" si="104"/>
        <v>275.24740346220779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</v>
      </c>
      <c r="GM117" s="21">
        <f>EXP(-LN(2)/25)*GM116+(1-EXP(-LN(2)/25))/(LN(2)/25)*Calculateur!GH117*Calculateur!GJ117*VLOOKUP('Données projet'!$B$17,Paramètres!$A$1:$I$89,3,0)*0.475*44/12</f>
        <v>1.7563356273861166</v>
      </c>
      <c r="GN117" s="21">
        <f>EXP(-LN(2)/2)*GN116+(1-EXP(-LN(2)/2))/(LN(2)/2)*GH117*GK117*VLOOKUP('Données projet'!$B$17,Paramètres!$A$1:$I$89,3,0)*0.475*44/12</f>
        <v>6.5211839186906756E-12</v>
      </c>
      <c r="GO117" s="21">
        <f t="shared" si="81"/>
        <v>1.7563356273926378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5.6843418860808015E-14</v>
      </c>
      <c r="GV117" s="17">
        <f>GU117*VLOOKUP('Données projet'!$B$18,Paramètres!$A$1:$I$89,3,0)*VLOOKUP('Données projet'!$B$18,Paramètres!$A$1:$I$89,5,0)</f>
        <v>4.5224624045658861E-14</v>
      </c>
      <c r="GW117" s="13">
        <f t="shared" si="105"/>
        <v>7.4514601661523691E-13</v>
      </c>
      <c r="GX117" s="20">
        <f t="shared" si="82"/>
        <v>1.3765621991510601E-12</v>
      </c>
      <c r="GY117" s="59">
        <f t="shared" si="83"/>
        <v>293.33333333333468</v>
      </c>
      <c r="GZ117" s="59">
        <f ca="1">AVERAGE(OFFSET($GY$3,0,0,'Données projet'!$E$18+1,1))-AVERAGE(OFFSET($H$3,0,0,'Données projet'!$E$18+1,1))</f>
        <v>199.58763537752952</v>
      </c>
      <c r="HA117" s="59">
        <f t="shared" si="106"/>
        <v>242.62852778451929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0</v>
      </c>
      <c r="HH117" s="21">
        <f>EXP(-LN(2)/25)*HH116+(1-EXP(-LN(2)/25))/(LN(2)/25)*Calculateur!HC117*Calculateur!HE117*VLOOKUP('Données projet'!$B$18,Paramètres!$A$1:$I$89,3,0)*0.475*44/12</f>
        <v>1.0015163798060094</v>
      </c>
      <c r="HI117" s="21">
        <f>EXP(-LN(2)/2)*HI116+(1-EXP(-LN(2)/2))/(LN(2)/2)*HC117*HF117*VLOOKUP('Données projet'!$B$18,Paramètres!$A$1:$I$89,3,0)*0.475*44/12</f>
        <v>2.4468950853634442E-12</v>
      </c>
      <c r="HJ117" s="22">
        <f t="shared" si="84"/>
        <v>1.0015163798084563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3.7</v>
      </c>
      <c r="N118" s="13">
        <f>IF('Données projet'!$A$36&gt;35,N117+M118-V117,IF(A118&lt;'Données projet'!$A$36,$K$205^A118,IF(A118='Données projet'!$A$36,'Données projet'!$B$36,N117+M118-V117)))</f>
        <v>284.49999999999994</v>
      </c>
      <c r="O118" s="13">
        <f>N118*VLOOKUP('Données projet'!$B$9,Paramètres!$A$1:$I$89,3,0)*VLOOKUP('Données projet'!$B$9,Paramètres!$A$1:$I$89,5,0)</f>
        <v>257.41559999999993</v>
      </c>
      <c r="P118" s="13">
        <f t="shared" si="87"/>
        <v>62.171168434977119</v>
      </c>
      <c r="Q118" s="20">
        <f t="shared" si="107"/>
        <v>556.61362169091831</v>
      </c>
      <c r="R118" s="59">
        <f t="shared" si="55"/>
        <v>849.94695502425157</v>
      </c>
      <c r="S118" s="59">
        <f ca="1">AVERAGE(OFFSET($R$3,0,0,'Données projet'!$E$9+1,1))-AVERAGE(OFFSET($H$3,0,0,'Données projet'!$E$9+1,1))</f>
        <v>237.22177246688199</v>
      </c>
      <c r="T118" s="59">
        <f t="shared" si="88"/>
        <v>149.27472147904302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0.29423262141249956</v>
      </c>
      <c r="AB118" s="21">
        <f>EXP(-LN(2)/2)*AB117+(1-EXP(-LN(2)/2))/(LN(2)/2)*V118*Y118*VLOOKUP('Données projet'!$B$9,Paramètres!$A$1:$I$89,3,0)*0.475*44/12</f>
        <v>9.9510767517784854E-13</v>
      </c>
      <c r="AC118" s="22">
        <f t="shared" si="57"/>
        <v>0.29423262141349465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284.49999999999994</v>
      </c>
      <c r="AJ118" s="13">
        <f>AI118*VLOOKUP('Données projet'!$B$10,Paramètres!$A$1:$I$89,3,0)*VLOOKUP('Données projet'!$B$10,Paramètres!$A$1:$I$89,5,0)</f>
        <v>288.483</v>
      </c>
      <c r="AK118" s="13">
        <f t="shared" si="89"/>
        <v>68.756584730508692</v>
      </c>
      <c r="AL118" s="20">
        <f t="shared" si="58"/>
        <v>622.19227673896933</v>
      </c>
      <c r="AM118" s="59">
        <f t="shared" si="59"/>
        <v>915.5256100723027</v>
      </c>
      <c r="AN118" s="59">
        <f ca="1">AVERAGE(OFFSET($AM$3,0,0,'Données projet'!$E$10+1,1))-AVERAGE(OFFSET($H$3,0,0,'Données projet'!$E$10+1,1))</f>
        <v>279.20364724206644</v>
      </c>
      <c r="AO118" s="59">
        <f t="shared" si="90"/>
        <v>173.99850582760712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0.32974345503124924</v>
      </c>
      <c r="AW118" s="21">
        <f>EXP(-LN(2)/2)*AW117+(1-EXP(-LN(2)/2))/(LN(2)/2)*AQ118*AT118*VLOOKUP('Données projet'!$B$10,Paramètres!$A$1:$I$89,3,0)*0.475*44/12</f>
        <v>1.1152068773544853E-12</v>
      </c>
      <c r="AX118" s="21">
        <f t="shared" si="60"/>
        <v>0.32974345503236446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-5.3205440053716299E-14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215.23235148064941</v>
      </c>
      <c r="BJ118" s="59">
        <f t="shared" si="92"/>
        <v>184.07239726900434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0.58224629489240498</v>
      </c>
      <c r="BQ118" s="21">
        <f>EXP(-LN(2)/25)*BQ117+(1-EXP(-LN(2)/25))/(LN(2)/25)*Calculateur!BL118*Calculateur!BN118*VLOOKUP('Données projet'!$B$11,Paramètres!$A$1:$I$89,3,0)*0.475*44/12</f>
        <v>0.7441660911862148</v>
      </c>
      <c r="BR118" s="21">
        <f>EXP(-LN(2)/2)*BR117+(1-EXP(-LN(2)/2))/(LN(2)/2)*BL118*BO118*VLOOKUP('Données projet'!$B$11,Paramètres!$A$1:$I$89,3,0)*0.475*44/12</f>
        <v>1.5807924371620577E-12</v>
      </c>
      <c r="BS118" s="22">
        <f t="shared" si="63"/>
        <v>1.3264123860802004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3.7</v>
      </c>
      <c r="BY118" s="12">
        <f>IF('Données projet'!$A$114&gt;35,BY117+BX118-CG117,IF(A118&lt;'Données projet'!$A$114,$BV$205^A118,IF(A118='Données projet'!$A$114,'Données projet'!$B$114,BY117+BX118-CG117)))</f>
        <v>284.49999999999994</v>
      </c>
      <c r="BZ118" s="13">
        <f>BY118*VLOOKUP('Données projet'!$B$12,Paramètres!$A$1:$I$89,3,0)*VLOOKUP('Données projet'!$B$12,Paramètres!$A$1:$I$89,5,0)</f>
        <v>306.23579999999993</v>
      </c>
      <c r="CA118" s="13">
        <f t="shared" si="93"/>
        <v>72.482157320027014</v>
      </c>
      <c r="CB118" s="20">
        <f t="shared" si="64"/>
        <v>659.60044233238023</v>
      </c>
      <c r="CC118" s="59">
        <f t="shared" si="65"/>
        <v>952.93377566571348</v>
      </c>
      <c r="CD118" s="59">
        <f ca="1">AVERAGE(OFFSET($CC$3,0,0,'Données projet'!$E$12+1,1))-AVERAGE(OFFSET($H$3,0,0,'Données projet'!$E$12+1,1))</f>
        <v>303.1504619632214</v>
      </c>
      <c r="CE118" s="59">
        <f t="shared" si="94"/>
        <v>188.09929616366503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0.35003535995624957</v>
      </c>
      <c r="CM118" s="21">
        <f>EXP(-LN(2)/2)*CM117+(1-EXP(-LN(2)/2))/(LN(2)/2)*CG118*CJ118*VLOOKUP('Données projet'!$B$12,Paramètres!$A$1:$I$89,3,0)*0.475*44/12</f>
        <v>1.1838349928839943E-12</v>
      </c>
      <c r="CN118" s="22">
        <f t="shared" si="66"/>
        <v>0.3500353599574334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5.6843418860808015E-14</v>
      </c>
      <c r="CU118" s="17">
        <f>CT118*VLOOKUP('Données projet'!$B$13,Paramètres!$A$1:$I$89,3,0)*VLOOKUP('Données projet'!$B$13,Paramètres!$A$1:$I$89,5,0)</f>
        <v>3.813056537183002E-14</v>
      </c>
      <c r="CV118" s="13">
        <f t="shared" si="95"/>
        <v>6.4086286045526829E-13</v>
      </c>
      <c r="CW118" s="20">
        <f t="shared" si="67"/>
        <v>1.1825802166488628E-12</v>
      </c>
      <c r="CX118" s="59">
        <f t="shared" si="68"/>
        <v>293.33333333333451</v>
      </c>
      <c r="CY118" s="59">
        <f ca="1">AVERAGE(OFFSET($CX$3,0,0,'Données projet'!$E$13+1,1))-AVERAGE(OFFSET($H$3,0,0,'Données projet'!$E$13+1,1))</f>
        <v>156.63226020379989</v>
      </c>
      <c r="CZ118" s="59">
        <f t="shared" si="96"/>
        <v>196.0481096619543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0.82132517753938361</v>
      </c>
      <c r="DH118" s="21">
        <f>EXP(-LN(2)/2)*DH117+(1-EXP(-LN(2)/2))/(LN(2)/2)*DB118*DE118*VLOOKUP('Données projet'!$B$13,Paramètres!$A$1:$I$89,3,0)*0.475*44/12</f>
        <v>1.4588096594438943E-12</v>
      </c>
      <c r="DI118" s="22">
        <f t="shared" si="69"/>
        <v>0.82132517754084244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-8.5265128291212022E-14</v>
      </c>
      <c r="DP118" s="17">
        <f>DO118*VLOOKUP('Données projet'!$B$14,Paramètres!$A$1:$I$89,3,0)*VLOOKUP('Données projet'!$B$14,Paramètres!$A$1:$I$89,5,0)</f>
        <v>-7.7147888077888636E-14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225.28075317732998</v>
      </c>
      <c r="DU118" s="59">
        <f t="shared" si="98"/>
        <v>358.43407531256207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0.41673299725574192</v>
      </c>
      <c r="EB118" s="21">
        <f>EXP(-LN(2)/25)*EB117+(1-EXP(-LN(2)/25))/(LN(2)/25)*Calculateur!DW118*Calculateur!DY118*VLOOKUP('Données projet'!$B$14,Paramètres!$A$1:$I$89,3,0)*0.475*44/12</f>
        <v>0.78363083431761327</v>
      </c>
      <c r="EC118" s="21">
        <f>EXP(-LN(2)/2)*EC117+(1-EXP(-LN(2)/2))/(LN(2)/2)*DW118*DZ118*VLOOKUP('Données projet'!$B$14,Paramètres!$A$1:$I$89,3,0)*0.475*44/12</f>
        <v>7.0967513754466279E-13</v>
      </c>
      <c r="ED118" s="22">
        <f t="shared" si="72"/>
        <v>1.2003638315740648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-5.6843418860808015E-13</v>
      </c>
      <c r="EK118" s="17">
        <f>EJ118*VLOOKUP('Données projet'!$B$15,Paramètres!$A$1:$I$89,3,0)*VLOOKUP('Données projet'!$B$15,Paramètres!$A$1:$I$89,5,0)</f>
        <v>-3.177547114319168E-13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326.31232746914907</v>
      </c>
      <c r="EP118" s="59">
        <f t="shared" si="100"/>
        <v>330.17137761430297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0.84849254302887456</v>
      </c>
      <c r="EW118" s="21">
        <f>EXP(-LN(2)/25)*EW117+(1-EXP(-LN(2)/25))/(LN(2)/25)*Calculateur!ER118*Calculateur!ET118*VLOOKUP('Données projet'!$B$15,Paramètres!$A$1:$I$89,3,0)*0.475*44/12</f>
        <v>2.8583523469425511</v>
      </c>
      <c r="EX118" s="21">
        <f>EXP(-LN(2)/2)*EX117+(1-EXP(-LN(2)/2))/(LN(2)/2)*ER118*EU118*VLOOKUP('Données projet'!$B$15,Paramètres!$A$1:$I$89,3,0)*0.475*44/12</f>
        <v>5.22881901476533E-12</v>
      </c>
      <c r="EY118" s="22">
        <f t="shared" si="75"/>
        <v>3.7068448899766544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255.41017495879987</v>
      </c>
      <c r="FK118" s="59">
        <f t="shared" si="102"/>
        <v>297.50513563712764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1.5498891272239899</v>
      </c>
      <c r="FR118" s="21">
        <f>EXP(-LN(2)/25)*FR117+(1-EXP(-LN(2)/25))/(LN(2)/25)*Calculateur!FM118*Calculateur!FO118*VLOOKUP('Données projet'!$B$16,Paramètres!$A$1:$I$89,3,0)*0.475*44/12</f>
        <v>2.6401762621429468</v>
      </c>
      <c r="FS118" s="21">
        <f>EXP(-LN(2)/2)*FS117+(1-EXP(-LN(2)/2))/(LN(2)/2)*FM118*FP118*VLOOKUP('Données projet'!$B$16,Paramètres!$A$1:$I$89,3,0)*0.475*44/12</f>
        <v>3.9231617215453914E-12</v>
      </c>
      <c r="FT118" s="22">
        <f t="shared" si="78"/>
        <v>4.1900653893708597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1.1368683772161603E-13</v>
      </c>
      <c r="GA118" s="17">
        <f>FZ118*VLOOKUP('Données projet'!$B$17,Paramètres!$A$1:$I$89,3,0)*VLOOKUP('Données projet'!$B$17,Paramètres!$A$1:$I$89,5,0)</f>
        <v>6.7984728957526396E-14</v>
      </c>
      <c r="GB118" s="13">
        <f t="shared" si="103"/>
        <v>1.0682447123141398E-12</v>
      </c>
      <c r="GC118" s="20">
        <f t="shared" si="79"/>
        <v>1.978932943548152E-12</v>
      </c>
      <c r="GD118" s="59">
        <f t="shared" si="80"/>
        <v>293.3333333333353</v>
      </c>
      <c r="GE118" s="59">
        <f ca="1">AVERAGE(OFFSET($GD$3,0,0,'Données projet'!$E$17+1,1))-AVERAGE(OFFSET($H$3,0,0,'Données projet'!$E$17+1,1))</f>
        <v>259.30247982593914</v>
      </c>
      <c r="GF118" s="59">
        <f t="shared" si="104"/>
        <v>275.24740346220779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</v>
      </c>
      <c r="GM118" s="21">
        <f>EXP(-LN(2)/25)*GM117+(1-EXP(-LN(2)/25))/(LN(2)/25)*Calculateur!GH118*Calculateur!GJ118*VLOOKUP('Données projet'!$B$17,Paramètres!$A$1:$I$89,3,0)*0.475*44/12</f>
        <v>1.7083085372935667</v>
      </c>
      <c r="GN118" s="21">
        <f>EXP(-LN(2)/2)*GN117+(1-EXP(-LN(2)/2))/(LN(2)/2)*GH118*GK118*VLOOKUP('Données projet'!$B$17,Paramètres!$A$1:$I$89,3,0)*0.475*44/12</f>
        <v>4.61117337027084E-12</v>
      </c>
      <c r="GO118" s="21">
        <f t="shared" si="81"/>
        <v>1.7083085372981779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5.6843418860808015E-14</v>
      </c>
      <c r="GV118" s="17">
        <f>GU118*VLOOKUP('Données projet'!$B$18,Paramètres!$A$1:$I$89,3,0)*VLOOKUP('Données projet'!$B$18,Paramètres!$A$1:$I$89,5,0)</f>
        <v>4.5224624045658861E-14</v>
      </c>
      <c r="GW118" s="13">
        <f t="shared" si="105"/>
        <v>7.4514601661523691E-13</v>
      </c>
      <c r="GX118" s="20">
        <f t="shared" si="82"/>
        <v>1.3765621991510601E-12</v>
      </c>
      <c r="GY118" s="59">
        <f t="shared" si="83"/>
        <v>293.33333333333468</v>
      </c>
      <c r="GZ118" s="59">
        <f ca="1">AVERAGE(OFFSET($GY$3,0,0,'Données projet'!$E$18+1,1))-AVERAGE(OFFSET($H$3,0,0,'Données projet'!$E$18+1,1))</f>
        <v>199.58763537752952</v>
      </c>
      <c r="HA118" s="59">
        <f t="shared" si="106"/>
        <v>242.62852778451929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0</v>
      </c>
      <c r="HH118" s="21">
        <f>EXP(-LN(2)/25)*HH117+(1-EXP(-LN(2)/25))/(LN(2)/25)*Calculateur!HC118*Calculateur!HE118*VLOOKUP('Données projet'!$B$18,Paramètres!$A$1:$I$89,3,0)*0.475*44/12</f>
        <v>0.97412986173275662</v>
      </c>
      <c r="HI118" s="21">
        <f>EXP(-LN(2)/2)*HI117+(1-EXP(-LN(2)/2))/(LN(2)/2)*HC118*HF118*VLOOKUP('Données projet'!$B$18,Paramètres!$A$1:$I$89,3,0)*0.475*44/12</f>
        <v>1.7302161077125275E-12</v>
      </c>
      <c r="HJ118" s="22">
        <f t="shared" si="84"/>
        <v>0.97412986173448679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3.7</v>
      </c>
      <c r="N119" s="13">
        <f>IF('Données projet'!$A$36&gt;35,N118+M119-V118,IF(A119&lt;'Données projet'!$A$36,$K$205^A119,IF(A119='Données projet'!$A$36,'Données projet'!$B$36,N118+M119-V118)))</f>
        <v>288.19999999999993</v>
      </c>
      <c r="O119" s="13">
        <f>N119*VLOOKUP('Données projet'!$B$9,Paramètres!$A$1:$I$89,3,0)*VLOOKUP('Données projet'!$B$9,Paramètres!$A$1:$I$89,5,0)</f>
        <v>260.76335999999992</v>
      </c>
      <c r="P119" s="13">
        <f t="shared" si="87"/>
        <v>62.885067686031952</v>
      </c>
      <c r="Q119" s="20">
        <f t="shared" si="107"/>
        <v>563.68767821983886</v>
      </c>
      <c r="R119" s="59">
        <f t="shared" si="55"/>
        <v>857.02101155317223</v>
      </c>
      <c r="S119" s="59">
        <f ca="1">AVERAGE(OFFSET($R$3,0,0,'Données projet'!$E$9+1,1))-AVERAGE(OFFSET($H$3,0,0,'Données projet'!$E$9+1,1))</f>
        <v>237.22177246688199</v>
      </c>
      <c r="T119" s="59">
        <f t="shared" si="88"/>
        <v>149.27472147904302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0.28618681490695369</v>
      </c>
      <c r="AB119" s="21">
        <f>EXP(-LN(2)/2)*AB118+(1-EXP(-LN(2)/2))/(LN(2)/2)*V119*Y119*VLOOKUP('Données projet'!$B$9,Paramètres!$A$1:$I$89,3,0)*0.475*44/12</f>
        <v>7.0364738512903697E-13</v>
      </c>
      <c r="AC119" s="22">
        <f t="shared" si="57"/>
        <v>0.28618681490765735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288.19999999999993</v>
      </c>
      <c r="AJ119" s="13">
        <f>AI119*VLOOKUP('Données projet'!$B$10,Paramètres!$A$1:$I$89,3,0)*VLOOKUP('Données projet'!$B$10,Paramètres!$A$1:$I$89,5,0)</f>
        <v>292.23479999999995</v>
      </c>
      <c r="AK119" s="13">
        <f t="shared" si="89"/>
        <v>69.546103016553758</v>
      </c>
      <c r="AL119" s="20">
        <f t="shared" si="58"/>
        <v>630.10173942049767</v>
      </c>
      <c r="AM119" s="59">
        <f t="shared" si="59"/>
        <v>923.43507275383104</v>
      </c>
      <c r="AN119" s="59">
        <f ca="1">AVERAGE(OFFSET($AM$3,0,0,'Données projet'!$E$10+1,1))-AVERAGE(OFFSET($H$3,0,0,'Données projet'!$E$10+1,1))</f>
        <v>279.20364724206644</v>
      </c>
      <c r="AO119" s="59">
        <f t="shared" si="90"/>
        <v>173.99850582760712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0.32072660291296506</v>
      </c>
      <c r="AW119" s="21">
        <f>EXP(-LN(2)/2)*AW118+(1-EXP(-LN(2)/2))/(LN(2)/2)*AQ119*AT119*VLOOKUP('Données projet'!$B$10,Paramètres!$A$1:$I$89,3,0)*0.475*44/12</f>
        <v>7.8857034540323096E-13</v>
      </c>
      <c r="AX119" s="21">
        <f t="shared" si="60"/>
        <v>0.32072660291375366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-5.3205440053716299E-14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215.23235148064941</v>
      </c>
      <c r="BJ119" s="59">
        <f t="shared" si="92"/>
        <v>184.07239726900434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0.57082880018473814</v>
      </c>
      <c r="BQ119" s="21">
        <f>EXP(-LN(2)/25)*BQ118+(1-EXP(-LN(2)/25))/(LN(2)/25)*Calculateur!BL119*Calculateur!BN119*VLOOKUP('Données projet'!$B$11,Paramètres!$A$1:$I$89,3,0)*0.475*44/12</f>
        <v>0.72381683028873378</v>
      </c>
      <c r="BR119" s="21">
        <f>EXP(-LN(2)/2)*BR118+(1-EXP(-LN(2)/2))/(LN(2)/2)*BL119*BO119*VLOOKUP('Données projet'!$B$11,Paramètres!$A$1:$I$89,3,0)*0.475*44/12</f>
        <v>1.1177890519657003E-12</v>
      </c>
      <c r="BS119" s="22">
        <f t="shared" si="63"/>
        <v>1.2946456304745897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3.7</v>
      </c>
      <c r="BY119" s="12">
        <f>IF('Données projet'!$A$114&gt;35,BY118+BX119-CG118,IF(A119&lt;'Données projet'!$A$114,$BV$205^A119,IF(A119='Données projet'!$A$114,'Données projet'!$B$114,BY118+BX119-CG118)))</f>
        <v>288.19999999999993</v>
      </c>
      <c r="BZ119" s="13">
        <f>BY119*VLOOKUP('Données projet'!$B$12,Paramètres!$A$1:$I$89,3,0)*VLOOKUP('Données projet'!$B$12,Paramètres!$A$1:$I$89,5,0)</f>
        <v>310.21847999999994</v>
      </c>
      <c r="CA119" s="13">
        <f t="shared" si="93"/>
        <v>73.314455620479976</v>
      </c>
      <c r="CB119" s="20">
        <f t="shared" si="64"/>
        <v>667.98652953900239</v>
      </c>
      <c r="CC119" s="59">
        <f t="shared" si="65"/>
        <v>961.31986287233576</v>
      </c>
      <c r="CD119" s="59">
        <f ca="1">AVERAGE(OFFSET($CC$3,0,0,'Données projet'!$E$12+1,1))-AVERAGE(OFFSET($H$3,0,0,'Données projet'!$E$12+1,1))</f>
        <v>303.1504619632214</v>
      </c>
      <c r="CE119" s="59">
        <f t="shared" si="94"/>
        <v>188.09929616366503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0.34046362463068636</v>
      </c>
      <c r="CM119" s="21">
        <f>EXP(-LN(2)/2)*CM118+(1-EXP(-LN(2)/2))/(LN(2)/2)*CG119*CJ119*VLOOKUP('Données projet'!$B$12,Paramètres!$A$1:$I$89,3,0)*0.475*44/12</f>
        <v>8.370977512742006E-13</v>
      </c>
      <c r="CN119" s="22">
        <f t="shared" si="66"/>
        <v>0.34046362463152346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5.6843418860808015E-14</v>
      </c>
      <c r="CU119" s="17">
        <f>CT119*VLOOKUP('Données projet'!$B$13,Paramètres!$A$1:$I$89,3,0)*VLOOKUP('Données projet'!$B$13,Paramètres!$A$1:$I$89,5,0)</f>
        <v>3.813056537183002E-14</v>
      </c>
      <c r="CV119" s="13">
        <f t="shared" si="95"/>
        <v>6.4086286045526829E-13</v>
      </c>
      <c r="CW119" s="20">
        <f t="shared" si="67"/>
        <v>1.1825802166488628E-12</v>
      </c>
      <c r="CX119" s="59">
        <f t="shared" si="68"/>
        <v>293.33333333333451</v>
      </c>
      <c r="CY119" s="59">
        <f ca="1">AVERAGE(OFFSET($CX$3,0,0,'Données projet'!$E$13+1,1))-AVERAGE(OFFSET($H$3,0,0,'Données projet'!$E$13+1,1))</f>
        <v>156.63226020379989</v>
      </c>
      <c r="CZ119" s="59">
        <f t="shared" si="96"/>
        <v>196.0481096619543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0.79886599736795527</v>
      </c>
      <c r="DH119" s="21">
        <f>EXP(-LN(2)/2)*DH118+(1-EXP(-LN(2)/2))/(LN(2)/2)*DB119*DE119*VLOOKUP('Données projet'!$B$13,Paramètres!$A$1:$I$89,3,0)*0.475*44/12</f>
        <v>1.0315342026532157E-12</v>
      </c>
      <c r="DI119" s="22">
        <f t="shared" si="69"/>
        <v>0.79886599736898678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-8.5265128291212022E-14</v>
      </c>
      <c r="DP119" s="17">
        <f>DO119*VLOOKUP('Données projet'!$B$14,Paramètres!$A$1:$I$89,3,0)*VLOOKUP('Données projet'!$B$14,Paramètres!$A$1:$I$89,5,0)</f>
        <v>-7.7147888077888636E-14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225.28075317732998</v>
      </c>
      <c r="DU119" s="59">
        <f t="shared" si="98"/>
        <v>358.43407531256207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0.40856111736158673</v>
      </c>
      <c r="EB119" s="21">
        <f>EXP(-LN(2)/25)*EB118+(1-EXP(-LN(2)/25))/(LN(2)/25)*Calculateur!DW119*Calculateur!DY119*VLOOKUP('Données projet'!$B$14,Paramètres!$A$1:$I$89,3,0)*0.475*44/12</f>
        <v>0.76220240794384353</v>
      </c>
      <c r="EC119" s="21">
        <f>EXP(-LN(2)/2)*EC118+(1-EXP(-LN(2)/2))/(LN(2)/2)*DW119*DZ119*VLOOKUP('Données projet'!$B$14,Paramètres!$A$1:$I$89,3,0)*0.475*44/12</f>
        <v>5.0181610219732689E-13</v>
      </c>
      <c r="ED119" s="22">
        <f t="shared" si="72"/>
        <v>1.1707635253059321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-5.6843418860808015E-13</v>
      </c>
      <c r="EK119" s="17">
        <f>EJ119*VLOOKUP('Données projet'!$B$15,Paramètres!$A$1:$I$89,3,0)*VLOOKUP('Données projet'!$B$15,Paramètres!$A$1:$I$89,5,0)</f>
        <v>-3.177547114319168E-13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326.31232746914907</v>
      </c>
      <c r="EP119" s="59">
        <f t="shared" si="100"/>
        <v>330.17137761430297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0.83185412178942775</v>
      </c>
      <c r="EW119" s="21">
        <f>EXP(-LN(2)/25)*EW118+(1-EXP(-LN(2)/25))/(LN(2)/25)*Calculateur!ER119*Calculateur!ET119*VLOOKUP('Données projet'!$B$15,Paramètres!$A$1:$I$89,3,0)*0.475*44/12</f>
        <v>2.7801905517011898</v>
      </c>
      <c r="EX119" s="21">
        <f>EXP(-LN(2)/2)*EX118+(1-EXP(-LN(2)/2))/(LN(2)/2)*ER119*EU119*VLOOKUP('Données projet'!$B$15,Paramètres!$A$1:$I$89,3,0)*0.475*44/12</f>
        <v>3.6973333829377272E-12</v>
      </c>
      <c r="EY119" s="22">
        <f t="shared" si="75"/>
        <v>3.612044673494315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255.41017495879987</v>
      </c>
      <c r="FK119" s="59">
        <f t="shared" si="102"/>
        <v>297.50513563712764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1.5194967467781506</v>
      </c>
      <c r="FR119" s="21">
        <f>EXP(-LN(2)/25)*FR118+(1-EXP(-LN(2)/25))/(LN(2)/25)*Calculateur!FM119*Calculateur!FO119*VLOOKUP('Données projet'!$B$16,Paramètres!$A$1:$I$89,3,0)*0.475*44/12</f>
        <v>2.5679805034138123</v>
      </c>
      <c r="FS119" s="21">
        <f>EXP(-LN(2)/2)*FS118+(1-EXP(-LN(2)/2))/(LN(2)/2)*FM119*FP119*VLOOKUP('Données projet'!$B$16,Paramètres!$A$1:$I$89,3,0)*0.475*44/12</f>
        <v>2.7740942569962362E-12</v>
      </c>
      <c r="FT119" s="22">
        <f t="shared" si="78"/>
        <v>4.0874772501947367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1.1368683772161603E-13</v>
      </c>
      <c r="GA119" s="17">
        <f>FZ119*VLOOKUP('Données projet'!$B$17,Paramètres!$A$1:$I$89,3,0)*VLOOKUP('Données projet'!$B$17,Paramètres!$A$1:$I$89,5,0)</f>
        <v>6.7984728957526396E-14</v>
      </c>
      <c r="GB119" s="13">
        <f t="shared" si="103"/>
        <v>1.0682447123141398E-12</v>
      </c>
      <c r="GC119" s="20">
        <f t="shared" si="79"/>
        <v>1.978932943548152E-12</v>
      </c>
      <c r="GD119" s="59">
        <f t="shared" si="80"/>
        <v>293.3333333333353</v>
      </c>
      <c r="GE119" s="59">
        <f ca="1">AVERAGE(OFFSET($GD$3,0,0,'Données projet'!$E$17+1,1))-AVERAGE(OFFSET($H$3,0,0,'Données projet'!$E$17+1,1))</f>
        <v>259.30247982593914</v>
      </c>
      <c r="GF119" s="59">
        <f t="shared" si="104"/>
        <v>275.24740346220779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</v>
      </c>
      <c r="GM119" s="21">
        <f>EXP(-LN(2)/25)*GM118+(1-EXP(-LN(2)/25))/(LN(2)/25)*Calculateur!GH119*Calculateur!GJ119*VLOOKUP('Données projet'!$B$17,Paramètres!$A$1:$I$89,3,0)*0.475*44/12</f>
        <v>1.6615947505052324</v>
      </c>
      <c r="GN119" s="21">
        <f>EXP(-LN(2)/2)*GN118+(1-EXP(-LN(2)/2))/(LN(2)/2)*GH119*GK119*VLOOKUP('Données projet'!$B$17,Paramètres!$A$1:$I$89,3,0)*0.475*44/12</f>
        <v>3.2605919593453378E-12</v>
      </c>
      <c r="GO119" s="21">
        <f t="shared" si="81"/>
        <v>1.6615947505084929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5.6843418860808015E-14</v>
      </c>
      <c r="GV119" s="17">
        <f>GU119*VLOOKUP('Données projet'!$B$18,Paramètres!$A$1:$I$89,3,0)*VLOOKUP('Données projet'!$B$18,Paramètres!$A$1:$I$89,5,0)</f>
        <v>4.5224624045658861E-14</v>
      </c>
      <c r="GW119" s="13">
        <f t="shared" si="105"/>
        <v>7.4514601661523691E-13</v>
      </c>
      <c r="GX119" s="20">
        <f t="shared" si="82"/>
        <v>1.3765621991510601E-12</v>
      </c>
      <c r="GY119" s="59">
        <f t="shared" si="83"/>
        <v>293.33333333333468</v>
      </c>
      <c r="GZ119" s="59">
        <f ca="1">AVERAGE(OFFSET($GY$3,0,0,'Données projet'!$E$18+1,1))-AVERAGE(OFFSET($H$3,0,0,'Données projet'!$E$18+1,1))</f>
        <v>199.58763537752952</v>
      </c>
      <c r="HA119" s="59">
        <f t="shared" si="106"/>
        <v>242.62852778451929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0</v>
      </c>
      <c r="HH119" s="21">
        <f>EXP(-LN(2)/25)*HH118+(1-EXP(-LN(2)/25))/(LN(2)/25)*Calculateur!HC119*Calculateur!HE119*VLOOKUP('Données projet'!$B$18,Paramètres!$A$1:$I$89,3,0)*0.475*44/12</f>
        <v>0.94749222943641132</v>
      </c>
      <c r="HI119" s="21">
        <f>EXP(-LN(2)/2)*HI118+(1-EXP(-LN(2)/2))/(LN(2)/2)*HC119*HF119*VLOOKUP('Données projet'!$B$18,Paramètres!$A$1:$I$89,3,0)*0.475*44/12</f>
        <v>1.2234475426817221E-12</v>
      </c>
      <c r="HJ119" s="22">
        <f t="shared" si="84"/>
        <v>0.94749222943763478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3.7</v>
      </c>
      <c r="N120" s="13">
        <f>IF('Données projet'!$A$36&gt;35,N119+M120-V119,IF(A120&lt;'Données projet'!$A$36,$K$205^A120,IF(A120='Données projet'!$A$36,'Données projet'!$B$36,N119+M120-V119)))</f>
        <v>291.89999999999992</v>
      </c>
      <c r="O120" s="13">
        <f>N120*VLOOKUP('Données projet'!$B$9,Paramètres!$A$1:$I$89,3,0)*VLOOKUP('Données projet'!$B$9,Paramètres!$A$1:$I$89,5,0)</f>
        <v>264.11111999999991</v>
      </c>
      <c r="P120" s="13">
        <f t="shared" si="87"/>
        <v>63.59790086687066</v>
      </c>
      <c r="Q120" s="20">
        <f t="shared" si="107"/>
        <v>570.75987800979954</v>
      </c>
      <c r="R120" s="59">
        <f t="shared" si="55"/>
        <v>864.09321134313291</v>
      </c>
      <c r="S120" s="59">
        <f ca="1">AVERAGE(OFFSET($R$3,0,0,'Données projet'!$E$9+1,1))-AVERAGE(OFFSET($H$3,0,0,'Données projet'!$E$9+1,1))</f>
        <v>237.22177246688199</v>
      </c>
      <c r="T120" s="59">
        <f t="shared" si="88"/>
        <v>149.27472147904302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0.27836102140341251</v>
      </c>
      <c r="AB120" s="21">
        <f>EXP(-LN(2)/2)*AB119+(1-EXP(-LN(2)/2))/(LN(2)/2)*V120*Y120*VLOOKUP('Données projet'!$B$9,Paramètres!$A$1:$I$89,3,0)*0.475*44/12</f>
        <v>4.9755383758892427E-13</v>
      </c>
      <c r="AC120" s="22">
        <f t="shared" si="57"/>
        <v>0.27836102140391006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291.89999999999992</v>
      </c>
      <c r="AJ120" s="13">
        <f>AI120*VLOOKUP('Données projet'!$B$10,Paramètres!$A$1:$I$89,3,0)*VLOOKUP('Données projet'!$B$10,Paramètres!$A$1:$I$89,5,0)</f>
        <v>295.98659999999995</v>
      </c>
      <c r="AK120" s="13">
        <f t="shared" si="89"/>
        <v>70.334442310004732</v>
      </c>
      <c r="AL120" s="20">
        <f t="shared" si="58"/>
        <v>638.00914868992481</v>
      </c>
      <c r="AM120" s="59">
        <f t="shared" si="59"/>
        <v>931.34248202325807</v>
      </c>
      <c r="AN120" s="59">
        <f ca="1">AVERAGE(OFFSET($AM$3,0,0,'Données projet'!$E$10+1,1))-AVERAGE(OFFSET($H$3,0,0,'Données projet'!$E$10+1,1))</f>
        <v>279.20364724206644</v>
      </c>
      <c r="AO120" s="59">
        <f t="shared" si="90"/>
        <v>173.99850582760712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0.31195631709003102</v>
      </c>
      <c r="AW120" s="21">
        <f>EXP(-LN(2)/2)*AW119+(1-EXP(-LN(2)/2))/(LN(2)/2)*AQ120*AT120*VLOOKUP('Données projet'!$B$10,Paramètres!$A$1:$I$89,3,0)*0.475*44/12</f>
        <v>5.5760343867724263E-13</v>
      </c>
      <c r="AX120" s="21">
        <f t="shared" si="60"/>
        <v>0.31195631709058863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-5.3205440053716299E-14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215.23235148064941</v>
      </c>
      <c r="BJ120" s="59">
        <f t="shared" si="92"/>
        <v>184.07239726900434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0.55963519558430452</v>
      </c>
      <c r="BQ120" s="21">
        <f>EXP(-LN(2)/25)*BQ119+(1-EXP(-LN(2)/25))/(LN(2)/25)*Calculateur!BL120*Calculateur!BN120*VLOOKUP('Données projet'!$B$11,Paramètres!$A$1:$I$89,3,0)*0.475*44/12</f>
        <v>0.70402402100061556</v>
      </c>
      <c r="BR120" s="21">
        <f>EXP(-LN(2)/2)*BR119+(1-EXP(-LN(2)/2))/(LN(2)/2)*BL120*BO120*VLOOKUP('Données projet'!$B$11,Paramètres!$A$1:$I$89,3,0)*0.475*44/12</f>
        <v>7.9039621858102885E-13</v>
      </c>
      <c r="BS120" s="22">
        <f t="shared" si="63"/>
        <v>1.2636592165857106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3.7</v>
      </c>
      <c r="BY120" s="12">
        <f>IF('Données projet'!$A$114&gt;35,BY119+BX120-CG119,IF(A120&lt;'Données projet'!$A$114,$BV$205^A120,IF(A120='Données projet'!$A$114,'Données projet'!$B$114,BY119+BX120-CG119)))</f>
        <v>291.89999999999992</v>
      </c>
      <c r="BZ120" s="13">
        <f>BY120*VLOOKUP('Données projet'!$B$12,Paramètres!$A$1:$I$89,3,0)*VLOOKUP('Données projet'!$B$12,Paramètres!$A$1:$I$89,5,0)</f>
        <v>314.2011599999999</v>
      </c>
      <c r="CA120" s="13">
        <f t="shared" si="93"/>
        <v>74.145511044675843</v>
      </c>
      <c r="CB120" s="20">
        <f t="shared" si="64"/>
        <v>676.37045206947698</v>
      </c>
      <c r="CC120" s="59">
        <f t="shared" si="65"/>
        <v>969.70378540281035</v>
      </c>
      <c r="CD120" s="59">
        <f ca="1">AVERAGE(OFFSET($CC$3,0,0,'Données projet'!$E$12+1,1))-AVERAGE(OFFSET($H$3,0,0,'Données projet'!$E$12+1,1))</f>
        <v>303.1504619632214</v>
      </c>
      <c r="CE120" s="59">
        <f t="shared" si="94"/>
        <v>188.09929616366503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0.33115362891095634</v>
      </c>
      <c r="CM120" s="21">
        <f>EXP(-LN(2)/2)*CM119+(1-EXP(-LN(2)/2))/(LN(2)/2)*CG120*CJ120*VLOOKUP('Données projet'!$B$12,Paramètres!$A$1:$I$89,3,0)*0.475*44/12</f>
        <v>5.9191749644199714E-13</v>
      </c>
      <c r="CN120" s="22">
        <f t="shared" si="66"/>
        <v>0.33115362891154826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5.6843418860808015E-14</v>
      </c>
      <c r="CU120" s="17">
        <f>CT120*VLOOKUP('Données projet'!$B$13,Paramètres!$A$1:$I$89,3,0)*VLOOKUP('Données projet'!$B$13,Paramètres!$A$1:$I$89,5,0)</f>
        <v>3.813056537183002E-14</v>
      </c>
      <c r="CV120" s="13">
        <f t="shared" si="95"/>
        <v>6.4086286045526829E-13</v>
      </c>
      <c r="CW120" s="20">
        <f t="shared" si="67"/>
        <v>1.1825802166488628E-12</v>
      </c>
      <c r="CX120" s="59">
        <f t="shared" si="68"/>
        <v>293.33333333333451</v>
      </c>
      <c r="CY120" s="59">
        <f ca="1">AVERAGE(OFFSET($CX$3,0,0,'Données projet'!$E$13+1,1))-AVERAGE(OFFSET($H$3,0,0,'Données projet'!$E$13+1,1))</f>
        <v>156.63226020379989</v>
      </c>
      <c r="CZ120" s="59">
        <f t="shared" si="96"/>
        <v>196.0481096619543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0.77702096465939152</v>
      </c>
      <c r="DH120" s="21">
        <f>EXP(-LN(2)/2)*DH119+(1-EXP(-LN(2)/2))/(LN(2)/2)*DB120*DE120*VLOOKUP('Données projet'!$B$13,Paramètres!$A$1:$I$89,3,0)*0.475*44/12</f>
        <v>7.2940482972194716E-13</v>
      </c>
      <c r="DI120" s="22">
        <f t="shared" si="69"/>
        <v>0.77702096466012094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-8.5265128291212022E-14</v>
      </c>
      <c r="DP120" s="17">
        <f>DO120*VLOOKUP('Données projet'!$B$14,Paramètres!$A$1:$I$89,3,0)*VLOOKUP('Données projet'!$B$14,Paramètres!$A$1:$I$89,5,0)</f>
        <v>-7.7147888077888636E-14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225.28075317732998</v>
      </c>
      <c r="DU120" s="59">
        <f t="shared" si="98"/>
        <v>358.43407531256207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0.40054948304780136</v>
      </c>
      <c r="EB120" s="21">
        <f>EXP(-LN(2)/25)*EB119+(1-EXP(-LN(2)/25))/(LN(2)/25)*Calculateur!DW120*Calculateur!DY120*VLOOKUP('Données projet'!$B$14,Paramètres!$A$1:$I$89,3,0)*0.475*44/12</f>
        <v>0.7413599430161365</v>
      </c>
      <c r="EC120" s="21">
        <f>EXP(-LN(2)/2)*EC119+(1-EXP(-LN(2)/2))/(LN(2)/2)*DW120*DZ120*VLOOKUP('Données projet'!$B$14,Paramètres!$A$1:$I$89,3,0)*0.475*44/12</f>
        <v>3.5483756877233139E-13</v>
      </c>
      <c r="ED120" s="22">
        <f t="shared" si="72"/>
        <v>1.1419094260642928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-5.6843418860808015E-13</v>
      </c>
      <c r="EK120" s="17">
        <f>EJ120*VLOOKUP('Données projet'!$B$15,Paramètres!$A$1:$I$89,3,0)*VLOOKUP('Données projet'!$B$15,Paramètres!$A$1:$I$89,5,0)</f>
        <v>-3.177547114319168E-13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326.31232746914907</v>
      </c>
      <c r="EP120" s="59">
        <f t="shared" si="100"/>
        <v>330.17137761430297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0.81554196984205163</v>
      </c>
      <c r="EW120" s="21">
        <f>EXP(-LN(2)/25)*EW119+(1-EXP(-LN(2)/25))/(LN(2)/25)*Calculateur!ER120*Calculateur!ET120*VLOOKUP('Données projet'!$B$15,Paramètres!$A$1:$I$89,3,0)*0.475*44/12</f>
        <v>2.704166094861054</v>
      </c>
      <c r="EX120" s="21">
        <f>EXP(-LN(2)/2)*EX119+(1-EXP(-LN(2)/2))/(LN(2)/2)*ER120*EU120*VLOOKUP('Données projet'!$B$15,Paramètres!$A$1:$I$89,3,0)*0.475*44/12</f>
        <v>2.614409507382665E-12</v>
      </c>
      <c r="EY120" s="22">
        <f t="shared" si="75"/>
        <v>3.51970806470572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255.41017495879987</v>
      </c>
      <c r="FK120" s="59">
        <f t="shared" si="102"/>
        <v>297.50513563712764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1.4897003423753326</v>
      </c>
      <c r="FR120" s="21">
        <f>EXP(-LN(2)/25)*FR119+(1-EXP(-LN(2)/25))/(LN(2)/25)*Calculateur!FM120*Calculateur!FO120*VLOOKUP('Données projet'!$B$16,Paramètres!$A$1:$I$89,3,0)*0.475*44/12</f>
        <v>2.497758941503736</v>
      </c>
      <c r="FS120" s="21">
        <f>EXP(-LN(2)/2)*FS119+(1-EXP(-LN(2)/2))/(LN(2)/2)*FM120*FP120*VLOOKUP('Données projet'!$B$16,Paramètres!$A$1:$I$89,3,0)*0.475*44/12</f>
        <v>1.9615808607726957E-12</v>
      </c>
      <c r="FT120" s="22">
        <f t="shared" si="78"/>
        <v>3.9874592838810301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1.1368683772161603E-13</v>
      </c>
      <c r="GA120" s="17">
        <f>FZ120*VLOOKUP('Données projet'!$B$17,Paramètres!$A$1:$I$89,3,0)*VLOOKUP('Données projet'!$B$17,Paramètres!$A$1:$I$89,5,0)</f>
        <v>6.7984728957526396E-14</v>
      </c>
      <c r="GB120" s="13">
        <f t="shared" si="103"/>
        <v>1.0682447123141398E-12</v>
      </c>
      <c r="GC120" s="20">
        <f t="shared" si="79"/>
        <v>1.978932943548152E-12</v>
      </c>
      <c r="GD120" s="59">
        <f t="shared" si="80"/>
        <v>293.3333333333353</v>
      </c>
      <c r="GE120" s="59">
        <f ca="1">AVERAGE(OFFSET($GD$3,0,0,'Données projet'!$E$17+1,1))-AVERAGE(OFFSET($H$3,0,0,'Données projet'!$E$17+1,1))</f>
        <v>259.30247982593914</v>
      </c>
      <c r="GF120" s="59">
        <f t="shared" si="104"/>
        <v>275.24740346220779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</v>
      </c>
      <c r="GM120" s="21">
        <f>EXP(-LN(2)/25)*GM119+(1-EXP(-LN(2)/25))/(LN(2)/25)*Calculateur!GH120*Calculateur!GJ120*VLOOKUP('Données projet'!$B$17,Paramètres!$A$1:$I$89,3,0)*0.475*44/12</f>
        <v>1.6161583546731966</v>
      </c>
      <c r="GN120" s="21">
        <f>EXP(-LN(2)/2)*GN119+(1-EXP(-LN(2)/2))/(LN(2)/2)*GH120*GK120*VLOOKUP('Données projet'!$B$17,Paramètres!$A$1:$I$89,3,0)*0.475*44/12</f>
        <v>2.30558668513542E-12</v>
      </c>
      <c r="GO120" s="21">
        <f t="shared" si="81"/>
        <v>1.6161583546755021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5.6843418860808015E-14</v>
      </c>
      <c r="GV120" s="17">
        <f>GU120*VLOOKUP('Données projet'!$B$18,Paramètres!$A$1:$I$89,3,0)*VLOOKUP('Données projet'!$B$18,Paramètres!$A$1:$I$89,5,0)</f>
        <v>4.5224624045658861E-14</v>
      </c>
      <c r="GW120" s="13">
        <f t="shared" si="105"/>
        <v>7.4514601661523691E-13</v>
      </c>
      <c r="GX120" s="20">
        <f t="shared" si="82"/>
        <v>1.3765621991510601E-12</v>
      </c>
      <c r="GY120" s="59">
        <f t="shared" si="83"/>
        <v>293.33333333333468</v>
      </c>
      <c r="GZ120" s="59">
        <f ca="1">AVERAGE(OFFSET($GY$3,0,0,'Données projet'!$E$18+1,1))-AVERAGE(OFFSET($H$3,0,0,'Données projet'!$E$18+1,1))</f>
        <v>199.58763537752952</v>
      </c>
      <c r="HA120" s="59">
        <f t="shared" si="106"/>
        <v>242.62852778451929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0</v>
      </c>
      <c r="HH120" s="21">
        <f>EXP(-LN(2)/25)*HH119+(1-EXP(-LN(2)/25))/(LN(2)/25)*Calculateur!HC120*Calculateur!HE120*VLOOKUP('Données projet'!$B$18,Paramètres!$A$1:$I$89,3,0)*0.475*44/12</f>
        <v>0.92158300459602183</v>
      </c>
      <c r="HI120" s="21">
        <f>EXP(-LN(2)/2)*HI119+(1-EXP(-LN(2)/2))/(LN(2)/2)*HC120*HF120*VLOOKUP('Données projet'!$B$18,Paramètres!$A$1:$I$89,3,0)*0.475*44/12</f>
        <v>8.6510805385626373E-13</v>
      </c>
      <c r="HJ120" s="22">
        <f t="shared" si="84"/>
        <v>0.92158300459688691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3.7</v>
      </c>
      <c r="N121" s="13">
        <f>IF('Données projet'!$A$36&gt;35,N120+M121-V120,IF(A121&lt;'Données projet'!$A$36,$K$205^A121,IF(A121='Données projet'!$A$36,'Données projet'!$B$36,N120+M121-V120)))</f>
        <v>295.59999999999991</v>
      </c>
      <c r="O121" s="13">
        <f>N121*VLOOKUP('Données projet'!$B$9,Paramètres!$A$1:$I$89,3,0)*VLOOKUP('Données projet'!$B$9,Paramètres!$A$1:$I$89,5,0)</f>
        <v>267.45887999999991</v>
      </c>
      <c r="P121" s="13">
        <f t="shared" si="87"/>
        <v>64.309683053152384</v>
      </c>
      <c r="Q121" s="20">
        <f t="shared" si="107"/>
        <v>577.83024731757359</v>
      </c>
      <c r="R121" s="59">
        <f t="shared" si="55"/>
        <v>871.16358065090685</v>
      </c>
      <c r="S121" s="59">
        <f ca="1">AVERAGE(OFFSET($R$3,0,0,'Données projet'!$E$9+1,1))-AVERAGE(OFFSET($H$3,0,0,'Données projet'!$E$9+1,1))</f>
        <v>237.22177246688199</v>
      </c>
      <c r="T121" s="59">
        <f t="shared" si="88"/>
        <v>149.27472147904302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0.27074922463476631</v>
      </c>
      <c r="AB121" s="21">
        <f>EXP(-LN(2)/2)*AB120+(1-EXP(-LN(2)/2))/(LN(2)/2)*V121*Y121*VLOOKUP('Données projet'!$B$9,Paramètres!$A$1:$I$89,3,0)*0.475*44/12</f>
        <v>3.5182369256451848E-13</v>
      </c>
      <c r="AC121" s="22">
        <f t="shared" si="57"/>
        <v>0.27074922463511814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295.59999999999991</v>
      </c>
      <c r="AJ121" s="13">
        <f>AI121*VLOOKUP('Données projet'!$B$10,Paramètres!$A$1:$I$89,3,0)*VLOOKUP('Données projet'!$B$10,Paramètres!$A$1:$I$89,5,0)</f>
        <v>299.73839999999996</v>
      </c>
      <c r="AK121" s="13">
        <f t="shared" si="89"/>
        <v>71.12161928339448</v>
      </c>
      <c r="AL121" s="20">
        <f t="shared" si="58"/>
        <v>645.91453358524529</v>
      </c>
      <c r="AM121" s="59">
        <f t="shared" si="59"/>
        <v>939.24786691857867</v>
      </c>
      <c r="AN121" s="59">
        <f ca="1">AVERAGE(OFFSET($AM$3,0,0,'Données projet'!$E$10+1,1))-AVERAGE(OFFSET($H$3,0,0,'Données projet'!$E$10+1,1))</f>
        <v>279.20364724206644</v>
      </c>
      <c r="AO121" s="59">
        <f t="shared" si="90"/>
        <v>173.99850582760712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0.3034258551941344</v>
      </c>
      <c r="AW121" s="21">
        <f>EXP(-LN(2)/2)*AW120+(1-EXP(-LN(2)/2))/(LN(2)/2)*AQ121*AT121*VLOOKUP('Données projet'!$B$10,Paramètres!$A$1:$I$89,3,0)*0.475*44/12</f>
        <v>3.9428517270161548E-13</v>
      </c>
      <c r="AX121" s="21">
        <f t="shared" si="60"/>
        <v>0.30342585519452869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-5.3205440053716299E-14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215.23235148064941</v>
      </c>
      <c r="BJ121" s="59">
        <f t="shared" si="92"/>
        <v>184.07239726900434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0.54866109074266067</v>
      </c>
      <c r="BQ121" s="21">
        <f>EXP(-LN(2)/25)*BQ120+(1-EXP(-LN(2)/25))/(LN(2)/25)*Calculateur!BL121*Calculateur!BN121*VLOOKUP('Données projet'!$B$11,Paramètres!$A$1:$I$89,3,0)*0.475*44/12</f>
        <v>0.68477244712333951</v>
      </c>
      <c r="BR121" s="21">
        <f>EXP(-LN(2)/2)*BR120+(1-EXP(-LN(2)/2))/(LN(2)/2)*BL121*BO121*VLOOKUP('Données projet'!$B$11,Paramètres!$A$1:$I$89,3,0)*0.475*44/12</f>
        <v>5.5889452598285015E-13</v>
      </c>
      <c r="BS121" s="22">
        <f t="shared" si="63"/>
        <v>1.2334335378665591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3.7</v>
      </c>
      <c r="BY121" s="12">
        <f>IF('Données projet'!$A$114&gt;35,BY120+BX121-CG120,IF(A121&lt;'Données projet'!$A$114,$BV$205^A121,IF(A121='Données projet'!$A$114,'Données projet'!$B$114,BY120+BX121-CG120)))</f>
        <v>295.59999999999991</v>
      </c>
      <c r="BZ121" s="13">
        <f>BY121*VLOOKUP('Données projet'!$B$12,Paramètres!$A$1:$I$89,3,0)*VLOOKUP('Données projet'!$B$12,Paramètres!$A$1:$I$89,5,0)</f>
        <v>318.18383999999986</v>
      </c>
      <c r="CA121" s="13">
        <f t="shared" si="93"/>
        <v>74.975341168547914</v>
      </c>
      <c r="CB121" s="20">
        <f t="shared" si="64"/>
        <v>684.75224053522061</v>
      </c>
      <c r="CC121" s="59">
        <f t="shared" si="65"/>
        <v>978.08557386855387</v>
      </c>
      <c r="CD121" s="59">
        <f ca="1">AVERAGE(OFFSET($CC$3,0,0,'Données projet'!$E$12+1,1))-AVERAGE(OFFSET($H$3,0,0,'Données projet'!$E$12+1,1))</f>
        <v>303.1504619632214</v>
      </c>
      <c r="CE121" s="59">
        <f t="shared" si="94"/>
        <v>188.09929616366503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0.32209821551377377</v>
      </c>
      <c r="CM121" s="21">
        <f>EXP(-LN(2)/2)*CM120+(1-EXP(-LN(2)/2))/(LN(2)/2)*CG121*CJ121*VLOOKUP('Données projet'!$B$12,Paramètres!$A$1:$I$89,3,0)*0.475*44/12</f>
        <v>4.185488756371003E-13</v>
      </c>
      <c r="CN121" s="22">
        <f t="shared" si="66"/>
        <v>0.32209821551419232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5.6843418860808015E-14</v>
      </c>
      <c r="CU121" s="17">
        <f>CT121*VLOOKUP('Données projet'!$B$13,Paramètres!$A$1:$I$89,3,0)*VLOOKUP('Données projet'!$B$13,Paramètres!$A$1:$I$89,5,0)</f>
        <v>3.813056537183002E-14</v>
      </c>
      <c r="CV121" s="13">
        <f t="shared" si="95"/>
        <v>6.4086286045526829E-13</v>
      </c>
      <c r="CW121" s="20">
        <f t="shared" si="67"/>
        <v>1.1825802166488628E-12</v>
      </c>
      <c r="CX121" s="59">
        <f t="shared" si="68"/>
        <v>293.33333333333451</v>
      </c>
      <c r="CY121" s="59">
        <f ca="1">AVERAGE(OFFSET($CX$3,0,0,'Données projet'!$E$13+1,1))-AVERAGE(OFFSET($H$3,0,0,'Données projet'!$E$13+1,1))</f>
        <v>156.63226020379989</v>
      </c>
      <c r="CZ121" s="59">
        <f t="shared" si="96"/>
        <v>196.0481096619543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0.75577328551902379</v>
      </c>
      <c r="DH121" s="21">
        <f>EXP(-LN(2)/2)*DH120+(1-EXP(-LN(2)/2))/(LN(2)/2)*DB121*DE121*VLOOKUP('Données projet'!$B$13,Paramètres!$A$1:$I$89,3,0)*0.475*44/12</f>
        <v>5.1576710132660785E-13</v>
      </c>
      <c r="DI121" s="22">
        <f t="shared" si="69"/>
        <v>0.75577328551953959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-8.5265128291212022E-14</v>
      </c>
      <c r="DP121" s="17">
        <f>DO121*VLOOKUP('Données projet'!$B$14,Paramètres!$A$1:$I$89,3,0)*VLOOKUP('Données projet'!$B$14,Paramètres!$A$1:$I$89,5,0)</f>
        <v>-7.7147888077888636E-14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225.28075317732998</v>
      </c>
      <c r="DU121" s="59">
        <f t="shared" si="98"/>
        <v>358.43407531256207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0.39269495199629489</v>
      </c>
      <c r="EB121" s="21">
        <f>EXP(-LN(2)/25)*EB120+(1-EXP(-LN(2)/25))/(LN(2)/25)*Calculateur!DW121*Calculateur!DY121*VLOOKUP('Données projet'!$B$14,Paramètres!$A$1:$I$89,3,0)*0.475*44/12</f>
        <v>0.72108741638793528</v>
      </c>
      <c r="EC121" s="21">
        <f>EXP(-LN(2)/2)*EC120+(1-EXP(-LN(2)/2))/(LN(2)/2)*DW121*DZ121*VLOOKUP('Données projet'!$B$14,Paramètres!$A$1:$I$89,3,0)*0.475*44/12</f>
        <v>2.5090805109866344E-13</v>
      </c>
      <c r="ED121" s="22">
        <f t="shared" si="72"/>
        <v>1.1137823683844812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-5.6843418860808015E-13</v>
      </c>
      <c r="EK121" s="17">
        <f>EJ121*VLOOKUP('Données projet'!$B$15,Paramètres!$A$1:$I$89,3,0)*VLOOKUP('Données projet'!$B$15,Paramètres!$A$1:$I$89,5,0)</f>
        <v>-3.177547114319168E-13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326.31232746914907</v>
      </c>
      <c r="EP121" s="59">
        <f t="shared" si="100"/>
        <v>330.17137761430297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0.7995496892449333</v>
      </c>
      <c r="EW121" s="21">
        <f>EXP(-LN(2)/25)*EW120+(1-EXP(-LN(2)/25))/(LN(2)/25)*Calculateur!ER121*Calculateur!ET121*VLOOKUP('Données projet'!$B$15,Paramètres!$A$1:$I$89,3,0)*0.475*44/12</f>
        <v>2.6302205307911639</v>
      </c>
      <c r="EX121" s="21">
        <f>EXP(-LN(2)/2)*EX120+(1-EXP(-LN(2)/2))/(LN(2)/2)*ER121*EU121*VLOOKUP('Données projet'!$B$15,Paramètres!$A$1:$I$89,3,0)*0.475*44/12</f>
        <v>1.8486666914688636E-12</v>
      </c>
      <c r="EY121" s="22">
        <f t="shared" si="75"/>
        <v>3.4297702200379461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255.41017495879987</v>
      </c>
      <c r="FK121" s="59">
        <f t="shared" si="102"/>
        <v>297.50513563712764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1.4604882272888415</v>
      </c>
      <c r="FR121" s="21">
        <f>EXP(-LN(2)/25)*FR120+(1-EXP(-LN(2)/25))/(LN(2)/25)*Calculateur!FM121*Calculateur!FO121*VLOOKUP('Données projet'!$B$16,Paramètres!$A$1:$I$89,3,0)*0.475*44/12</f>
        <v>2.4294575918968824</v>
      </c>
      <c r="FS121" s="21">
        <f>EXP(-LN(2)/2)*FS120+(1-EXP(-LN(2)/2))/(LN(2)/2)*FM121*FP121*VLOOKUP('Données projet'!$B$16,Paramètres!$A$1:$I$89,3,0)*0.475*44/12</f>
        <v>1.3870471284981181E-12</v>
      </c>
      <c r="FT121" s="22">
        <f t="shared" si="78"/>
        <v>3.8899458191871106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1.1368683772161603E-13</v>
      </c>
      <c r="GA121" s="17">
        <f>FZ121*VLOOKUP('Données projet'!$B$17,Paramètres!$A$1:$I$89,3,0)*VLOOKUP('Données projet'!$B$17,Paramètres!$A$1:$I$89,5,0)</f>
        <v>6.7984728957526396E-14</v>
      </c>
      <c r="GB121" s="13">
        <f t="shared" si="103"/>
        <v>1.0682447123141398E-12</v>
      </c>
      <c r="GC121" s="20">
        <f t="shared" si="79"/>
        <v>1.978932943548152E-12</v>
      </c>
      <c r="GD121" s="59">
        <f t="shared" si="80"/>
        <v>293.3333333333353</v>
      </c>
      <c r="GE121" s="59">
        <f ca="1">AVERAGE(OFFSET($GD$3,0,0,'Données projet'!$E$17+1,1))-AVERAGE(OFFSET($H$3,0,0,'Données projet'!$E$17+1,1))</f>
        <v>259.30247982593914</v>
      </c>
      <c r="GF121" s="59">
        <f t="shared" si="104"/>
        <v>275.24740346220779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</v>
      </c>
      <c r="GM121" s="21">
        <f>EXP(-LN(2)/25)*GM120+(1-EXP(-LN(2)/25))/(LN(2)/25)*Calculateur!GH121*Calculateur!GJ121*VLOOKUP('Données projet'!$B$17,Paramètres!$A$1:$I$89,3,0)*0.475*44/12</f>
        <v>1.5719644194745839</v>
      </c>
      <c r="GN121" s="21">
        <f>EXP(-LN(2)/2)*GN120+(1-EXP(-LN(2)/2))/(LN(2)/2)*GH121*GK121*VLOOKUP('Données projet'!$B$17,Paramètres!$A$1:$I$89,3,0)*0.475*44/12</f>
        <v>1.6302959796726689E-12</v>
      </c>
      <c r="GO121" s="21">
        <f t="shared" si="81"/>
        <v>1.5719644194762141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5.6843418860808015E-14</v>
      </c>
      <c r="GV121" s="17">
        <f>GU121*VLOOKUP('Données projet'!$B$18,Paramètres!$A$1:$I$89,3,0)*VLOOKUP('Données projet'!$B$18,Paramètres!$A$1:$I$89,5,0)</f>
        <v>4.5224624045658861E-14</v>
      </c>
      <c r="GW121" s="13">
        <f t="shared" si="105"/>
        <v>7.4514601661523691E-13</v>
      </c>
      <c r="GX121" s="20">
        <f t="shared" si="82"/>
        <v>1.3765621991510601E-12</v>
      </c>
      <c r="GY121" s="59">
        <f t="shared" si="83"/>
        <v>293.33333333333468</v>
      </c>
      <c r="GZ121" s="59">
        <f ca="1">AVERAGE(OFFSET($GY$3,0,0,'Données projet'!$E$18+1,1))-AVERAGE(OFFSET($H$3,0,0,'Données projet'!$E$18+1,1))</f>
        <v>199.58763537752952</v>
      </c>
      <c r="HA121" s="59">
        <f t="shared" si="106"/>
        <v>242.62852778451929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0</v>
      </c>
      <c r="HH121" s="21">
        <f>EXP(-LN(2)/25)*HH120+(1-EXP(-LN(2)/25))/(LN(2)/25)*Calculateur!HC121*Calculateur!HE121*VLOOKUP('Données projet'!$B$18,Paramètres!$A$1:$I$89,3,0)*0.475*44/12</f>
        <v>0.89638226887139971</v>
      </c>
      <c r="HI121" s="21">
        <f>EXP(-LN(2)/2)*HI120+(1-EXP(-LN(2)/2))/(LN(2)/2)*HC121*HF121*VLOOKUP('Données projet'!$B$18,Paramètres!$A$1:$I$89,3,0)*0.475*44/12</f>
        <v>6.1172377134086104E-13</v>
      </c>
      <c r="HJ121" s="22">
        <f t="shared" si="84"/>
        <v>0.89638226887201145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3.7</v>
      </c>
      <c r="N122" s="13">
        <f>IF('Données projet'!$A$36&gt;35,N121+M122-V121,IF(A122&lt;'Données projet'!$A$36,$K$205^A122,IF(A122='Données projet'!$A$36,'Données projet'!$B$36,N121+M122-V121)))</f>
        <v>299.2999999999999</v>
      </c>
      <c r="O122" s="13">
        <f>N122*VLOOKUP('Données projet'!$B$9,Paramètres!$A$1:$I$89,3,0)*VLOOKUP('Données projet'!$B$9,Paramètres!$A$1:$I$89,5,0)</f>
        <v>270.8066399999999</v>
      </c>
      <c r="P122" s="13">
        <f t="shared" si="87"/>
        <v>65.020428921429911</v>
      </c>
      <c r="Q122" s="20">
        <f t="shared" si="107"/>
        <v>584.89881170482352</v>
      </c>
      <c r="R122" s="59">
        <f t="shared" si="55"/>
        <v>878.23214503815689</v>
      </c>
      <c r="S122" s="59">
        <f ca="1">AVERAGE(OFFSET($R$3,0,0,'Données projet'!$E$9+1,1))-AVERAGE(OFFSET($H$3,0,0,'Données projet'!$E$9+1,1))</f>
        <v>237.22177246688199</v>
      </c>
      <c r="T122" s="59">
        <f t="shared" si="88"/>
        <v>149.27472147904302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0.26334557284904569</v>
      </c>
      <c r="AB122" s="21">
        <f>EXP(-LN(2)/2)*AB121+(1-EXP(-LN(2)/2))/(LN(2)/2)*V122*Y122*VLOOKUP('Données projet'!$B$9,Paramètres!$A$1:$I$89,3,0)*0.475*44/12</f>
        <v>2.4877691879446213E-13</v>
      </c>
      <c r="AC122" s="22">
        <f t="shared" si="57"/>
        <v>0.2633455728492945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299.2999999999999</v>
      </c>
      <c r="AJ122" s="13">
        <f>AI122*VLOOKUP('Données projet'!$B$10,Paramètres!$A$1:$I$89,3,0)*VLOOKUP('Données projet'!$B$10,Paramètres!$A$1:$I$89,5,0)</f>
        <v>303.4901999999999</v>
      </c>
      <c r="AK122" s="13">
        <f t="shared" si="89"/>
        <v>71.907650167874195</v>
      </c>
      <c r="AL122" s="20">
        <f t="shared" si="58"/>
        <v>653.81792237571403</v>
      </c>
      <c r="AM122" s="59">
        <f t="shared" si="59"/>
        <v>947.15125570904729</v>
      </c>
      <c r="AN122" s="59">
        <f ca="1">AVERAGE(OFFSET($AM$3,0,0,'Données projet'!$E$10+1,1))-AVERAGE(OFFSET($H$3,0,0,'Données projet'!$E$10+1,1))</f>
        <v>279.20364724206644</v>
      </c>
      <c r="AO122" s="59">
        <f t="shared" si="90"/>
        <v>173.99850582760712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0.29512865922737858</v>
      </c>
      <c r="AW122" s="21">
        <f>EXP(-LN(2)/2)*AW121+(1-EXP(-LN(2)/2))/(LN(2)/2)*AQ122*AT122*VLOOKUP('Données projet'!$B$10,Paramètres!$A$1:$I$89,3,0)*0.475*44/12</f>
        <v>2.7880171933862132E-13</v>
      </c>
      <c r="AX122" s="21">
        <f t="shared" si="60"/>
        <v>0.29512865922765735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-5.3205440053716299E-14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215.23235148064941</v>
      </c>
      <c r="BJ122" s="59">
        <f t="shared" si="92"/>
        <v>184.07239726900434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0.5379021814034185</v>
      </c>
      <c r="BQ122" s="21">
        <f>EXP(-LN(2)/25)*BQ121+(1-EXP(-LN(2)/25))/(LN(2)/25)*Calculateur!BL122*Calculateur!BN122*VLOOKUP('Données projet'!$B$11,Paramètres!$A$1:$I$89,3,0)*0.475*44/12</f>
        <v>0.66604730854613392</v>
      </c>
      <c r="BR122" s="21">
        <f>EXP(-LN(2)/2)*BR121+(1-EXP(-LN(2)/2))/(LN(2)/2)*BL122*BO122*VLOOKUP('Données projet'!$B$11,Paramètres!$A$1:$I$89,3,0)*0.475*44/12</f>
        <v>3.9519810929051443E-13</v>
      </c>
      <c r="BS122" s="22">
        <f t="shared" si="63"/>
        <v>1.2039494899499477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3.7</v>
      </c>
      <c r="BY122" s="12">
        <f>IF('Données projet'!$A$114&gt;35,BY121+BX122-CG121,IF(A122&lt;'Données projet'!$A$114,$BV$205^A122,IF(A122='Données projet'!$A$114,'Données projet'!$B$114,BY121+BX122-CG121)))</f>
        <v>299.2999999999999</v>
      </c>
      <c r="BZ122" s="13">
        <f>BY122*VLOOKUP('Données projet'!$B$12,Paramètres!$A$1:$I$89,3,0)*VLOOKUP('Données projet'!$B$12,Paramètres!$A$1:$I$89,5,0)</f>
        <v>322.16651999999988</v>
      </c>
      <c r="CA122" s="13">
        <f t="shared" si="93"/>
        <v>75.803963102731601</v>
      </c>
      <c r="CB122" s="20">
        <f t="shared" si="64"/>
        <v>693.13192473725724</v>
      </c>
      <c r="CC122" s="59">
        <f t="shared" si="65"/>
        <v>986.46525807059061</v>
      </c>
      <c r="CD122" s="59">
        <f ca="1">AVERAGE(OFFSET($CC$3,0,0,'Données projet'!$E$12+1,1))-AVERAGE(OFFSET($H$3,0,0,'Données projet'!$E$12+1,1))</f>
        <v>303.1504619632214</v>
      </c>
      <c r="CE122" s="59">
        <f t="shared" si="94"/>
        <v>188.09929616366503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0.31329042287214065</v>
      </c>
      <c r="CM122" s="21">
        <f>EXP(-LN(2)/2)*CM121+(1-EXP(-LN(2)/2))/(LN(2)/2)*CG122*CJ122*VLOOKUP('Données projet'!$B$12,Paramètres!$A$1:$I$89,3,0)*0.475*44/12</f>
        <v>2.9595874822099857E-13</v>
      </c>
      <c r="CN122" s="22">
        <f t="shared" si="66"/>
        <v>0.31329042287243664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5.6843418860808015E-14</v>
      </c>
      <c r="CU122" s="17">
        <f>CT122*VLOOKUP('Données projet'!$B$13,Paramètres!$A$1:$I$89,3,0)*VLOOKUP('Données projet'!$B$13,Paramètres!$A$1:$I$89,5,0)</f>
        <v>3.813056537183002E-14</v>
      </c>
      <c r="CV122" s="13">
        <f t="shared" si="95"/>
        <v>6.4086286045526829E-13</v>
      </c>
      <c r="CW122" s="20">
        <f t="shared" si="67"/>
        <v>1.1825802166488628E-12</v>
      </c>
      <c r="CX122" s="59">
        <f t="shared" si="68"/>
        <v>293.33333333333451</v>
      </c>
      <c r="CY122" s="59">
        <f ca="1">AVERAGE(OFFSET($CX$3,0,0,'Données projet'!$E$13+1,1))-AVERAGE(OFFSET($H$3,0,0,'Données projet'!$E$13+1,1))</f>
        <v>156.63226020379989</v>
      </c>
      <c r="CZ122" s="59">
        <f t="shared" si="96"/>
        <v>196.0481096619543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0.73510662528211634</v>
      </c>
      <c r="DH122" s="21">
        <f>EXP(-LN(2)/2)*DH121+(1-EXP(-LN(2)/2))/(LN(2)/2)*DB122*DE122*VLOOKUP('Données projet'!$B$13,Paramètres!$A$1:$I$89,3,0)*0.475*44/12</f>
        <v>3.6470241486097358E-13</v>
      </c>
      <c r="DI122" s="22">
        <f t="shared" si="69"/>
        <v>0.73510662528248105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-8.5265128291212022E-14</v>
      </c>
      <c r="DP122" s="17">
        <f>DO122*VLOOKUP('Données projet'!$B$14,Paramètres!$A$1:$I$89,3,0)*VLOOKUP('Données projet'!$B$14,Paramètres!$A$1:$I$89,5,0)</f>
        <v>-7.7147888077888636E-14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225.28075317732998</v>
      </c>
      <c r="DU122" s="59">
        <f t="shared" si="98"/>
        <v>358.43407531256207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0.38499444350791762</v>
      </c>
      <c r="EB122" s="21">
        <f>EXP(-LN(2)/25)*EB121+(1-EXP(-LN(2)/25))/(LN(2)/25)*Calculateur!DW122*Calculateur!DY122*VLOOKUP('Données projet'!$B$14,Paramètres!$A$1:$I$89,3,0)*0.475*44/12</f>
        <v>0.70136924306646797</v>
      </c>
      <c r="EC122" s="21">
        <f>EXP(-LN(2)/2)*EC121+(1-EXP(-LN(2)/2))/(LN(2)/2)*DW122*DZ122*VLOOKUP('Données projet'!$B$14,Paramètres!$A$1:$I$89,3,0)*0.475*44/12</f>
        <v>1.774187843861657E-13</v>
      </c>
      <c r="ED122" s="22">
        <f t="shared" si="72"/>
        <v>1.0863636865745629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-5.6843418860808015E-13</v>
      </c>
      <c r="EK122" s="17">
        <f>EJ122*VLOOKUP('Données projet'!$B$15,Paramètres!$A$1:$I$89,3,0)*VLOOKUP('Données projet'!$B$15,Paramètres!$A$1:$I$89,5,0)</f>
        <v>-3.177547114319168E-13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326.31232746914907</v>
      </c>
      <c r="EP122" s="59">
        <f t="shared" si="100"/>
        <v>330.17137761430297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0.78387100751599648</v>
      </c>
      <c r="EW122" s="21">
        <f>EXP(-LN(2)/25)*EW121+(1-EXP(-LN(2)/25))/(LN(2)/25)*Calculateur!ER122*Calculateur!ET122*VLOOKUP('Données projet'!$B$15,Paramètres!$A$1:$I$89,3,0)*0.475*44/12</f>
        <v>2.5582970120593931</v>
      </c>
      <c r="EX122" s="21">
        <f>EXP(-LN(2)/2)*EX121+(1-EXP(-LN(2)/2))/(LN(2)/2)*ER122*EU122*VLOOKUP('Données projet'!$B$15,Paramètres!$A$1:$I$89,3,0)*0.475*44/12</f>
        <v>1.3072047536913325E-12</v>
      </c>
      <c r="EY122" s="22">
        <f t="shared" si="75"/>
        <v>3.3421680195766967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255.41017495879987</v>
      </c>
      <c r="FK122" s="59">
        <f t="shared" si="102"/>
        <v>297.50513563712764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1.4318489439615658</v>
      </c>
      <c r="FR122" s="21">
        <f>EXP(-LN(2)/25)*FR121+(1-EXP(-LN(2)/25))/(LN(2)/25)*Calculateur!FM122*Calculateur!FO122*VLOOKUP('Données projet'!$B$16,Paramètres!$A$1:$I$89,3,0)*0.475*44/12</f>
        <v>2.3630239462868401</v>
      </c>
      <c r="FS122" s="21">
        <f>EXP(-LN(2)/2)*FS121+(1-EXP(-LN(2)/2))/(LN(2)/2)*FM122*FP122*VLOOKUP('Données projet'!$B$16,Paramètres!$A$1:$I$89,3,0)*0.475*44/12</f>
        <v>9.8079043038634786E-13</v>
      </c>
      <c r="FT122" s="22">
        <f t="shared" si="78"/>
        <v>3.7948728902493869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1.1368683772161603E-13</v>
      </c>
      <c r="GA122" s="17">
        <f>FZ122*VLOOKUP('Données projet'!$B$17,Paramètres!$A$1:$I$89,3,0)*VLOOKUP('Données projet'!$B$17,Paramètres!$A$1:$I$89,5,0)</f>
        <v>6.7984728957526396E-14</v>
      </c>
      <c r="GB122" s="13">
        <f t="shared" si="103"/>
        <v>1.0682447123141398E-12</v>
      </c>
      <c r="GC122" s="20">
        <f t="shared" si="79"/>
        <v>1.978932943548152E-12</v>
      </c>
      <c r="GD122" s="59">
        <f t="shared" si="80"/>
        <v>293.3333333333353</v>
      </c>
      <c r="GE122" s="59">
        <f ca="1">AVERAGE(OFFSET($GD$3,0,0,'Données projet'!$E$17+1,1))-AVERAGE(OFFSET($H$3,0,0,'Données projet'!$E$17+1,1))</f>
        <v>259.30247982593914</v>
      </c>
      <c r="GF122" s="59">
        <f t="shared" si="104"/>
        <v>275.24740346220779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</v>
      </c>
      <c r="GM122" s="21">
        <f>EXP(-LN(2)/25)*GM121+(1-EXP(-LN(2)/25))/(LN(2)/25)*Calculateur!GH122*Calculateur!GJ122*VLOOKUP('Données projet'!$B$17,Paramètres!$A$1:$I$89,3,0)*0.475*44/12</f>
        <v>1.5289789697580354</v>
      </c>
      <c r="GN122" s="21">
        <f>EXP(-LN(2)/2)*GN121+(1-EXP(-LN(2)/2))/(LN(2)/2)*GH122*GK122*VLOOKUP('Données projet'!$B$17,Paramètres!$A$1:$I$89,3,0)*0.475*44/12</f>
        <v>1.15279334256771E-12</v>
      </c>
      <c r="GO122" s="21">
        <f t="shared" si="81"/>
        <v>1.5289789697591882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5.6843418860808015E-14</v>
      </c>
      <c r="GV122" s="17">
        <f>GU122*VLOOKUP('Données projet'!$B$18,Paramètres!$A$1:$I$89,3,0)*VLOOKUP('Données projet'!$B$18,Paramètres!$A$1:$I$89,5,0)</f>
        <v>4.5224624045658861E-14</v>
      </c>
      <c r="GW122" s="13">
        <f t="shared" si="105"/>
        <v>7.4514601661523691E-13</v>
      </c>
      <c r="GX122" s="20">
        <f t="shared" si="82"/>
        <v>1.3765621991510601E-12</v>
      </c>
      <c r="GY122" s="59">
        <f t="shared" si="83"/>
        <v>293.33333333333468</v>
      </c>
      <c r="GZ122" s="59">
        <f ca="1">AVERAGE(OFFSET($GY$3,0,0,'Données projet'!$E$18+1,1))-AVERAGE(OFFSET($H$3,0,0,'Données projet'!$E$18+1,1))</f>
        <v>199.58763537752952</v>
      </c>
      <c r="HA122" s="59">
        <f t="shared" si="106"/>
        <v>242.62852778451929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0</v>
      </c>
      <c r="HH122" s="21">
        <f>EXP(-LN(2)/25)*HH121+(1-EXP(-LN(2)/25))/(LN(2)/25)*Calculateur!HC122*Calculateur!HE122*VLOOKUP('Données projet'!$B$18,Paramètres!$A$1:$I$89,3,0)*0.475*44/12</f>
        <v>0.87187064859041652</v>
      </c>
      <c r="HI122" s="21">
        <f>EXP(-LN(2)/2)*HI121+(1-EXP(-LN(2)/2))/(LN(2)/2)*HC122*HF122*VLOOKUP('Données projet'!$B$18,Paramètres!$A$1:$I$89,3,0)*0.475*44/12</f>
        <v>4.3255402692813187E-13</v>
      </c>
      <c r="HJ122" s="22">
        <f t="shared" si="84"/>
        <v>0.87187064859084906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303</v>
      </c>
      <c r="L123" s="12">
        <f>VLOOKUP(A123,'Données projet'!$A$35:$I$55,9,0)</f>
        <v>3.7</v>
      </c>
      <c r="M123" s="12">
        <f t="array" ref="M123">INDEX(L:L,MIN(IF(ISNUMBER(L123:L319),ROW(L123:L319),"")))</f>
        <v>3.7</v>
      </c>
      <c r="N123" s="13">
        <f>IF('Données projet'!$A$36&gt;35,N122+M123-V122,IF(A123&lt;'Données projet'!$A$36,$K$205^A123,IF(A123='Données projet'!$A$36,'Données projet'!$B$36,N122+M123-V122)))</f>
        <v>302.99999999999989</v>
      </c>
      <c r="O123" s="13">
        <f>N123*VLOOKUP('Données projet'!$B$9,Paramètres!$A$1:$I$89,3,0)*VLOOKUP('Données projet'!$B$9,Paramètres!$A$1:$I$89,5,0)</f>
        <v>274.1543999999999</v>
      </c>
      <c r="P123" s="13">
        <f t="shared" si="87"/>
        <v>65.730152764515779</v>
      </c>
      <c r="Q123" s="20">
        <f t="shared" si="107"/>
        <v>591.96559606486471</v>
      </c>
      <c r="R123" s="59">
        <f t="shared" si="55"/>
        <v>885.29892939819797</v>
      </c>
      <c r="S123" s="59">
        <f ca="1">AVERAGE(OFFSET($R$3,0,0,'Données projet'!$E$9+1,1))-AVERAGE(OFFSET($H$3,0,0,'Données projet'!$E$9+1,1))</f>
        <v>237.22177246688199</v>
      </c>
      <c r="T123" s="59">
        <f t="shared" si="88"/>
        <v>149.27472147904302</v>
      </c>
      <c r="U123" s="15">
        <f>IF(ISNA(VLOOKUP(A123,'Données projet'!$A$35:$I$55,3,0)),0,VLOOKUP(A123,'Données projet'!$A$35:$I$55,3,0))</f>
        <v>10</v>
      </c>
      <c r="V123" s="15">
        <f>IF(ISNA(VLOOKUP(A123,'Données projet'!$A$35:$I$55,4,0)),0,VLOOKUP(A123,'Données projet'!$A$35:$I$55,4,0))</f>
        <v>303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0.25614437431074677</v>
      </c>
      <c r="AB123" s="21">
        <f>EXP(-LN(2)/2)*AB122+(1-EXP(-LN(2)/2))/(LN(2)/2)*V123*Y123*VLOOKUP('Données projet'!$B$9,Paramètres!$A$1:$I$89,3,0)*0.475*44/12</f>
        <v>1.7591184628225924E-13</v>
      </c>
      <c r="AC123" s="22">
        <f t="shared" si="57"/>
        <v>0.25614437431092268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303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302.99999999999989</v>
      </c>
      <c r="AJ123" s="13">
        <f>AI123*VLOOKUP('Données projet'!$B$10,Paramètres!$A$1:$I$89,3,0)*VLOOKUP('Données projet'!$B$10,Paramètres!$A$1:$I$89,5,0)</f>
        <v>307.2419999999999</v>
      </c>
      <c r="AK123" s="13">
        <f t="shared" si="89"/>
        <v>72.692550770207774</v>
      </c>
      <c r="AL123" s="20">
        <f t="shared" si="58"/>
        <v>661.71934259144507</v>
      </c>
      <c r="AM123" s="59">
        <f t="shared" si="59"/>
        <v>955.05267592477844</v>
      </c>
      <c r="AN123" s="59">
        <f ca="1">AVERAGE(OFFSET($AM$3,0,0,'Données projet'!$E$10+1,1))-AVERAGE(OFFSET($H$3,0,0,'Données projet'!$E$10+1,1))</f>
        <v>279.20364724206644</v>
      </c>
      <c r="AO123" s="59">
        <f t="shared" si="90"/>
        <v>173.99850582760712</v>
      </c>
      <c r="AP123" s="15">
        <f>IF(ISNA(VLOOKUP(A123,'Données projet'!$A$61:$I$81,3,0)),0,VLOOKUP(A123,'Données projet'!$A$61:$I$81,3,0))</f>
        <v>10</v>
      </c>
      <c r="AQ123" s="15">
        <f>IF(ISNA(VLOOKUP(A123,'Données projet'!$A$61:$I$81,4,0)),0,VLOOKUP(A123,'Données projet'!$A$61:$I$81,4,0))</f>
        <v>303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0.28705835052066425</v>
      </c>
      <c r="AW123" s="21">
        <f>EXP(-LN(2)/2)*AW122+(1-EXP(-LN(2)/2))/(LN(2)/2)*AQ123*AT123*VLOOKUP('Données projet'!$B$10,Paramètres!$A$1:$I$89,3,0)*0.475*44/12</f>
        <v>1.9714258635080774E-13</v>
      </c>
      <c r="AX123" s="21">
        <f t="shared" si="60"/>
        <v>0.28705835052086137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-5.3205440053716299E-14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215.23235148064941</v>
      </c>
      <c r="BJ123" s="59">
        <f t="shared" si="92"/>
        <v>184.07239726900434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0.52735424771403216</v>
      </c>
      <c r="BQ123" s="21">
        <f>EXP(-LN(2)/25)*BQ122+(1-EXP(-LN(2)/25))/(LN(2)/25)*Calculateur!BL123*Calculateur!BN123*VLOOKUP('Données projet'!$B$11,Paramètres!$A$1:$I$89,3,0)*0.475*44/12</f>
        <v>0.64783420986803419</v>
      </c>
      <c r="BR123" s="21">
        <f>EXP(-LN(2)/2)*BR122+(1-EXP(-LN(2)/2))/(LN(2)/2)*BL123*BO123*VLOOKUP('Données projet'!$B$11,Paramètres!$A$1:$I$89,3,0)*0.475*44/12</f>
        <v>2.7944726299142507E-13</v>
      </c>
      <c r="BS123" s="22">
        <f t="shared" si="63"/>
        <v>1.1751884575823459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303</v>
      </c>
      <c r="BW123" s="12">
        <f>VLOOKUP(A123,'Données projet'!$A$113:$I$133,9,0)</f>
        <v>3.7</v>
      </c>
      <c r="BX123" s="12">
        <f t="array" ref="BX123">INDEX(BW:BW,MIN(IF(ISNUMBER(BW123:BW319),ROW(BW123:BW319),"")))</f>
        <v>3.7</v>
      </c>
      <c r="BY123" s="12">
        <f>IF('Données projet'!$A$114&gt;35,BY122+BX123-CG122,IF(A123&lt;'Données projet'!$A$114,$BV$205^A123,IF(A123='Données projet'!$A$114,'Données projet'!$B$114,BY122+BX123-CG122)))</f>
        <v>302.99999999999989</v>
      </c>
      <c r="BZ123" s="13">
        <f>BY123*VLOOKUP('Données projet'!$B$12,Paramètres!$A$1:$I$89,3,0)*VLOOKUP('Données projet'!$B$12,Paramètres!$A$1:$I$89,5,0)</f>
        <v>326.14919999999989</v>
      </c>
      <c r="CA123" s="13">
        <f t="shared" si="93"/>
        <v>76.631393510479626</v>
      </c>
      <c r="CB123" s="20">
        <f t="shared" si="64"/>
        <v>701.50953369741853</v>
      </c>
      <c r="CC123" s="59">
        <f t="shared" si="65"/>
        <v>994.8428670307519</v>
      </c>
      <c r="CD123" s="59">
        <f ca="1">AVERAGE(OFFSET($CC$3,0,0,'Données projet'!$E$12+1,1))-AVERAGE(OFFSET($H$3,0,0,'Données projet'!$E$12+1,1))</f>
        <v>303.1504619632214</v>
      </c>
      <c r="CE123" s="59">
        <f t="shared" si="94"/>
        <v>188.09929616366503</v>
      </c>
      <c r="CF123" s="15">
        <f>IF(ISNA(VLOOKUP(A123,'Données projet'!$A$113:$I$133,3,0)),0,VLOOKUP(A123,'Données projet'!$A$113:$I$133,3,0))</f>
        <v>10</v>
      </c>
      <c r="CG123" s="15">
        <f>IF(ISNA(VLOOKUP(A123,'Données projet'!$A$113:$I$133,4,0)),0,VLOOKUP(A123,'Données projet'!$A$113:$I$133,4,0))</f>
        <v>303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0.30472347978347464</v>
      </c>
      <c r="CM123" s="21">
        <f>EXP(-LN(2)/2)*CM122+(1-EXP(-LN(2)/2))/(LN(2)/2)*CG123*CJ123*VLOOKUP('Données projet'!$B$12,Paramètres!$A$1:$I$89,3,0)*0.475*44/12</f>
        <v>2.0927443781855015E-13</v>
      </c>
      <c r="CN123" s="22">
        <f t="shared" si="66"/>
        <v>0.30472347978368391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5.6843418860808015E-14</v>
      </c>
      <c r="CU123" s="17">
        <f>CT123*VLOOKUP('Données projet'!$B$13,Paramètres!$A$1:$I$89,3,0)*VLOOKUP('Données projet'!$B$13,Paramètres!$A$1:$I$89,5,0)</f>
        <v>3.813056537183002E-14</v>
      </c>
      <c r="CV123" s="13">
        <f t="shared" si="95"/>
        <v>6.4086286045526829E-13</v>
      </c>
      <c r="CW123" s="20">
        <f t="shared" si="67"/>
        <v>1.1825802166488628E-12</v>
      </c>
      <c r="CX123" s="59">
        <f t="shared" si="68"/>
        <v>293.33333333333451</v>
      </c>
      <c r="CY123" s="59">
        <f ca="1">AVERAGE(OFFSET($CX$3,0,0,'Données projet'!$E$13+1,1))-AVERAGE(OFFSET($H$3,0,0,'Données projet'!$E$13+1,1))</f>
        <v>156.63226020379989</v>
      </c>
      <c r="CZ123" s="59">
        <f t="shared" si="96"/>
        <v>196.0481096619543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0.71500509595619954</v>
      </c>
      <c r="DH123" s="21">
        <f>EXP(-LN(2)/2)*DH122+(1-EXP(-LN(2)/2))/(LN(2)/2)*DB123*DE123*VLOOKUP('Données projet'!$B$13,Paramètres!$A$1:$I$89,3,0)*0.475*44/12</f>
        <v>2.5788355066330392E-13</v>
      </c>
      <c r="DI123" s="22">
        <f t="shared" si="69"/>
        <v>0.71500509595645745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-8.5265128291212022E-14</v>
      </c>
      <c r="DP123" s="17">
        <f>DO123*VLOOKUP('Données projet'!$B$14,Paramètres!$A$1:$I$89,3,0)*VLOOKUP('Données projet'!$B$14,Paramètres!$A$1:$I$89,5,0)</f>
        <v>-7.7147888077888636E-14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225.28075317732998</v>
      </c>
      <c r="DU123" s="59">
        <f t="shared" si="98"/>
        <v>358.43407531256207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0.37744493729415102</v>
      </c>
      <c r="EB123" s="21">
        <f>EXP(-LN(2)/25)*EB122+(1-EXP(-LN(2)/25))/(LN(2)/25)*Calculateur!DW123*Calculateur!DY123*VLOOKUP('Données projet'!$B$14,Paramètres!$A$1:$I$89,3,0)*0.475*44/12</f>
        <v>0.68219026423140994</v>
      </c>
      <c r="EC123" s="21">
        <f>EXP(-LN(2)/2)*EC122+(1-EXP(-LN(2)/2))/(LN(2)/2)*DW123*DZ123*VLOOKUP('Données projet'!$B$14,Paramètres!$A$1:$I$89,3,0)*0.475*44/12</f>
        <v>1.2545402554933172E-13</v>
      </c>
      <c r="ED123" s="22">
        <f t="shared" si="72"/>
        <v>1.0596352015256865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-5.6843418860808015E-13</v>
      </c>
      <c r="EK123" s="17">
        <f>EJ123*VLOOKUP('Données projet'!$B$15,Paramètres!$A$1:$I$89,3,0)*VLOOKUP('Données projet'!$B$15,Paramètres!$A$1:$I$89,5,0)</f>
        <v>-3.177547114319168E-13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326.31232746914907</v>
      </c>
      <c r="EP123" s="59">
        <f t="shared" si="100"/>
        <v>330.17137761430297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0.76849977517271251</v>
      </c>
      <c r="EW123" s="21">
        <f>EXP(-LN(2)/25)*EW122+(1-EXP(-LN(2)/25))/(LN(2)/25)*Calculateur!ER123*Calculateur!ET123*VLOOKUP('Données projet'!$B$15,Paramètres!$A$1:$I$89,3,0)*0.475*44/12</f>
        <v>2.4883402457296362</v>
      </c>
      <c r="EX123" s="21">
        <f>EXP(-LN(2)/2)*EX122+(1-EXP(-LN(2)/2))/(LN(2)/2)*ER123*EU123*VLOOKUP('Données projet'!$B$15,Paramètres!$A$1:$I$89,3,0)*0.475*44/12</f>
        <v>9.2433334573443181E-13</v>
      </c>
      <c r="EY123" s="22">
        <f t="shared" si="75"/>
        <v>3.2568400209032728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255.41017495879987</v>
      </c>
      <c r="FK123" s="59">
        <f t="shared" si="102"/>
        <v>297.50513563712764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1.4037712595120999</v>
      </c>
      <c r="FR123" s="21">
        <f>EXP(-LN(2)/25)*FR122+(1-EXP(-LN(2)/25))/(LN(2)/25)*Calculateur!FM123*Calculateur!FO123*VLOOKUP('Données projet'!$B$16,Paramètres!$A$1:$I$89,3,0)*0.475*44/12</f>
        <v>2.2984069322095979</v>
      </c>
      <c r="FS123" s="21">
        <f>EXP(-LN(2)/2)*FS122+(1-EXP(-LN(2)/2))/(LN(2)/2)*FM123*FP123*VLOOKUP('Données projet'!$B$16,Paramètres!$A$1:$I$89,3,0)*0.475*44/12</f>
        <v>6.9352356424905906E-13</v>
      </c>
      <c r="FT123" s="22">
        <f t="shared" si="78"/>
        <v>3.7021781917223917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1.1368683772161603E-13</v>
      </c>
      <c r="GA123" s="17">
        <f>FZ123*VLOOKUP('Données projet'!$B$17,Paramètres!$A$1:$I$89,3,0)*VLOOKUP('Données projet'!$B$17,Paramètres!$A$1:$I$89,5,0)</f>
        <v>6.7984728957526396E-14</v>
      </c>
      <c r="GB123" s="13">
        <f t="shared" si="103"/>
        <v>1.0682447123141398E-12</v>
      </c>
      <c r="GC123" s="20">
        <f t="shared" si="79"/>
        <v>1.978932943548152E-12</v>
      </c>
      <c r="GD123" s="59">
        <f t="shared" si="80"/>
        <v>293.3333333333353</v>
      </c>
      <c r="GE123" s="59">
        <f ca="1">AVERAGE(OFFSET($GD$3,0,0,'Données projet'!$E$17+1,1))-AVERAGE(OFFSET($H$3,0,0,'Données projet'!$E$17+1,1))</f>
        <v>259.30247982593914</v>
      </c>
      <c r="GF123" s="59">
        <f t="shared" si="104"/>
        <v>275.24740346220779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</v>
      </c>
      <c r="GM123" s="21">
        <f>EXP(-LN(2)/25)*GM122+(1-EXP(-LN(2)/25))/(LN(2)/25)*Calculateur!GH123*Calculateur!GJ123*VLOOKUP('Données projet'!$B$17,Paramètres!$A$1:$I$89,3,0)*0.475*44/12</f>
        <v>1.4871689594244923</v>
      </c>
      <c r="GN123" s="21">
        <f>EXP(-LN(2)/2)*GN122+(1-EXP(-LN(2)/2))/(LN(2)/2)*GH123*GK123*VLOOKUP('Données projet'!$B$17,Paramètres!$A$1:$I$89,3,0)*0.475*44/12</f>
        <v>8.1514798983633445E-13</v>
      </c>
      <c r="GO123" s="21">
        <f t="shared" si="81"/>
        <v>1.4871689594253075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5.6843418860808015E-14</v>
      </c>
      <c r="GV123" s="17">
        <f>GU123*VLOOKUP('Données projet'!$B$18,Paramètres!$A$1:$I$89,3,0)*VLOOKUP('Données projet'!$B$18,Paramètres!$A$1:$I$89,5,0)</f>
        <v>4.5224624045658861E-14</v>
      </c>
      <c r="GW123" s="13">
        <f t="shared" si="105"/>
        <v>7.4514601661523691E-13</v>
      </c>
      <c r="GX123" s="20">
        <f t="shared" si="82"/>
        <v>1.3765621991510601E-12</v>
      </c>
      <c r="GY123" s="59">
        <f t="shared" si="83"/>
        <v>293.33333333333468</v>
      </c>
      <c r="GZ123" s="59">
        <f ca="1">AVERAGE(OFFSET($GY$3,0,0,'Données projet'!$E$18+1,1))-AVERAGE(OFFSET($H$3,0,0,'Données projet'!$E$18+1,1))</f>
        <v>199.58763537752952</v>
      </c>
      <c r="HA123" s="59">
        <f t="shared" si="106"/>
        <v>242.62852778451929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0</v>
      </c>
      <c r="HH123" s="21">
        <f>EXP(-LN(2)/25)*HH122+(1-EXP(-LN(2)/25))/(LN(2)/25)*Calculateur!HC123*Calculateur!HE123*VLOOKUP('Données projet'!$B$18,Paramètres!$A$1:$I$89,3,0)*0.475*44/12</f>
        <v>0.84802929985502684</v>
      </c>
      <c r="HI123" s="21">
        <f>EXP(-LN(2)/2)*HI122+(1-EXP(-LN(2)/2))/(LN(2)/2)*HC123*HF123*VLOOKUP('Données projet'!$B$18,Paramètres!$A$1:$I$89,3,0)*0.475*44/12</f>
        <v>3.0586188567043052E-13</v>
      </c>
      <c r="HJ123" s="22">
        <f t="shared" si="84"/>
        <v>0.84802929985533271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-1.0286385077051818E-13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237.22177246688199</v>
      </c>
      <c r="T124" s="59">
        <f t="shared" si="88"/>
        <v>149.27472147904302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0.24914009292517217</v>
      </c>
      <c r="AB124" s="21">
        <f>EXP(-LN(2)/2)*AB123+(1-EXP(-LN(2)/2))/(LN(2)/2)*V124*Y124*VLOOKUP('Données projet'!$B$9,Paramètres!$A$1:$I$89,3,0)*0.475*44/12</f>
        <v>1.2438845939723107E-13</v>
      </c>
      <c r="AC124" s="22">
        <f t="shared" si="57"/>
        <v>0.24914009292529657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-1.1527845344971866E-13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279.20364724206644</v>
      </c>
      <c r="AO124" s="59">
        <f t="shared" si="90"/>
        <v>173.99850582760712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0.27920872482993414</v>
      </c>
      <c r="AW124" s="21">
        <f>EXP(-LN(2)/2)*AW123+(1-EXP(-LN(2)/2))/(LN(2)/2)*AQ124*AT124*VLOOKUP('Données projet'!$B$10,Paramètres!$A$1:$I$89,3,0)*0.475*44/12</f>
        <v>1.3940085966931066E-13</v>
      </c>
      <c r="AX124" s="21">
        <f t="shared" si="60"/>
        <v>0.27920872483007353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-5.3205440053716299E-14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215.23235148064941</v>
      </c>
      <c r="BJ124" s="59">
        <f t="shared" si="92"/>
        <v>184.07239726900434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0.51701315257069036</v>
      </c>
      <c r="BQ124" s="21">
        <f>EXP(-LN(2)/25)*BQ123+(1-EXP(-LN(2)/25))/(LN(2)/25)*Calculateur!BL124*Calculateur!BN124*VLOOKUP('Données projet'!$B$11,Paramètres!$A$1:$I$89,3,0)*0.475*44/12</f>
        <v>0.63011914933107238</v>
      </c>
      <c r="BR124" s="21">
        <f>EXP(-LN(2)/2)*BR123+(1-EXP(-LN(2)/2))/(LN(2)/2)*BL124*BO124*VLOOKUP('Données projet'!$B$11,Paramètres!$A$1:$I$89,3,0)*0.475*44/12</f>
        <v>1.9759905464525721E-13</v>
      </c>
      <c r="BS124" s="22">
        <f t="shared" si="63"/>
        <v>1.1471323019019604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-1.223725121235475E-13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303.1504619632214</v>
      </c>
      <c r="CE124" s="59">
        <f t="shared" si="94"/>
        <v>188.09929616366503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0.2963908002040842</v>
      </c>
      <c r="CM124" s="21">
        <f>EXP(-LN(2)/2)*CM123+(1-EXP(-LN(2)/2))/(LN(2)/2)*CG124*CJ124*VLOOKUP('Données projet'!$B$12,Paramètres!$A$1:$I$89,3,0)*0.475*44/12</f>
        <v>1.4797937411049928E-13</v>
      </c>
      <c r="CN124" s="22">
        <f t="shared" si="66"/>
        <v>0.2963908002042322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5.6843418860808015E-14</v>
      </c>
      <c r="CU124" s="17">
        <f>CT124*VLOOKUP('Données projet'!$B$13,Paramètres!$A$1:$I$89,3,0)*VLOOKUP('Données projet'!$B$13,Paramètres!$A$1:$I$89,5,0)</f>
        <v>3.813056537183002E-14</v>
      </c>
      <c r="CV124" s="13">
        <f t="shared" si="95"/>
        <v>6.4086286045526829E-13</v>
      </c>
      <c r="CW124" s="20">
        <f t="shared" si="67"/>
        <v>1.1825802166488628E-12</v>
      </c>
      <c r="CX124" s="59">
        <f t="shared" si="68"/>
        <v>293.33333333333451</v>
      </c>
      <c r="CY124" s="59">
        <f ca="1">AVERAGE(OFFSET($CX$3,0,0,'Données projet'!$E$13+1,1))-AVERAGE(OFFSET($H$3,0,0,'Données projet'!$E$13+1,1))</f>
        <v>156.63226020379989</v>
      </c>
      <c r="CZ124" s="59">
        <f t="shared" si="96"/>
        <v>196.0481096619543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0.69545324400679343</v>
      </c>
      <c r="DH124" s="21">
        <f>EXP(-LN(2)/2)*DH123+(1-EXP(-LN(2)/2))/(LN(2)/2)*DB124*DE124*VLOOKUP('Données projet'!$B$13,Paramètres!$A$1:$I$89,3,0)*0.475*44/12</f>
        <v>1.8235120743048679E-13</v>
      </c>
      <c r="DI124" s="22">
        <f t="shared" si="69"/>
        <v>0.69545324400697572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-8.5265128291212022E-14</v>
      </c>
      <c r="DP124" s="17">
        <f>DO124*VLOOKUP('Données projet'!$B$14,Paramètres!$A$1:$I$89,3,0)*VLOOKUP('Données projet'!$B$14,Paramètres!$A$1:$I$89,5,0)</f>
        <v>-7.7147888077888636E-14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225.28075317732998</v>
      </c>
      <c r="DU124" s="59">
        <f t="shared" si="98"/>
        <v>358.43407531256207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0.37004347229249224</v>
      </c>
      <c r="EB124" s="21">
        <f>EXP(-LN(2)/25)*EB123+(1-EXP(-LN(2)/25))/(LN(2)/25)*Calculateur!DW124*Calculateur!DY124*VLOOKUP('Données projet'!$B$14,Paramètres!$A$1:$I$89,3,0)*0.475*44/12</f>
        <v>0.66353573558117518</v>
      </c>
      <c r="EC124" s="21">
        <f>EXP(-LN(2)/2)*EC123+(1-EXP(-LN(2)/2))/(LN(2)/2)*DW124*DZ124*VLOOKUP('Données projet'!$B$14,Paramètres!$A$1:$I$89,3,0)*0.475*44/12</f>
        <v>8.8709392193082848E-14</v>
      </c>
      <c r="ED124" s="22">
        <f t="shared" si="72"/>
        <v>1.0335792078737562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-5.6843418860808015E-13</v>
      </c>
      <c r="EK124" s="17">
        <f>EJ124*VLOOKUP('Données projet'!$B$15,Paramètres!$A$1:$I$89,3,0)*VLOOKUP('Données projet'!$B$15,Paramètres!$A$1:$I$89,5,0)</f>
        <v>-3.177547114319168E-13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326.31232746914907</v>
      </c>
      <c r="EP124" s="59">
        <f t="shared" si="100"/>
        <v>330.17137761430297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0.75342996332015433</v>
      </c>
      <c r="EW124" s="21">
        <f>EXP(-LN(2)/25)*EW123+(1-EXP(-LN(2)/25))/(LN(2)/25)*Calculateur!ER124*Calculateur!ET124*VLOOKUP('Données projet'!$B$15,Paramètres!$A$1:$I$89,3,0)*0.475*44/12</f>
        <v>2.4202964508540328</v>
      </c>
      <c r="EX124" s="21">
        <f>EXP(-LN(2)/2)*EX123+(1-EXP(-LN(2)/2))/(LN(2)/2)*ER124*EU124*VLOOKUP('Données projet'!$B$15,Paramètres!$A$1:$I$89,3,0)*0.475*44/12</f>
        <v>6.5360237684566625E-13</v>
      </c>
      <c r="EY124" s="22">
        <f t="shared" si="75"/>
        <v>3.1737264141748409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255.41017495879987</v>
      </c>
      <c r="FK124" s="59">
        <f t="shared" si="102"/>
        <v>297.50513563712764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1.3762441613289917</v>
      </c>
      <c r="FR124" s="21">
        <f>EXP(-LN(2)/25)*FR123+(1-EXP(-LN(2)/25))/(LN(2)/25)*Calculateur!FM124*Calculateur!FO124*VLOOKUP('Données projet'!$B$16,Paramètres!$A$1:$I$89,3,0)*0.475*44/12</f>
        <v>2.2355568737803591</v>
      </c>
      <c r="FS124" s="21">
        <f>EXP(-LN(2)/2)*FS123+(1-EXP(-LN(2)/2))/(LN(2)/2)*FM124*FP124*VLOOKUP('Données projet'!$B$16,Paramètres!$A$1:$I$89,3,0)*0.475*44/12</f>
        <v>4.9039521519317393E-13</v>
      </c>
      <c r="FT124" s="22">
        <f t="shared" si="78"/>
        <v>3.6118010351098411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1.1368683772161603E-13</v>
      </c>
      <c r="GA124" s="17">
        <f>FZ124*VLOOKUP('Données projet'!$B$17,Paramètres!$A$1:$I$89,3,0)*VLOOKUP('Données projet'!$B$17,Paramètres!$A$1:$I$89,5,0)</f>
        <v>6.7984728957526396E-14</v>
      </c>
      <c r="GB124" s="13">
        <f t="shared" si="103"/>
        <v>1.0682447123141398E-12</v>
      </c>
      <c r="GC124" s="20">
        <f t="shared" si="79"/>
        <v>1.978932943548152E-12</v>
      </c>
      <c r="GD124" s="59">
        <f t="shared" si="80"/>
        <v>293.3333333333353</v>
      </c>
      <c r="GE124" s="59">
        <f ca="1">AVERAGE(OFFSET($GD$3,0,0,'Données projet'!$E$17+1,1))-AVERAGE(OFFSET($H$3,0,0,'Données projet'!$E$17+1,1))</f>
        <v>259.30247982593914</v>
      </c>
      <c r="GF124" s="59">
        <f t="shared" si="104"/>
        <v>275.24740346220779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</v>
      </c>
      <c r="GM124" s="21">
        <f>EXP(-LN(2)/25)*GM123+(1-EXP(-LN(2)/25))/(LN(2)/25)*Calculateur!GH124*Calculateur!GJ124*VLOOKUP('Données projet'!$B$17,Paramètres!$A$1:$I$89,3,0)*0.475*44/12</f>
        <v>1.446502246022213</v>
      </c>
      <c r="GN124" s="21">
        <f>EXP(-LN(2)/2)*GN123+(1-EXP(-LN(2)/2))/(LN(2)/2)*GH124*GK124*VLOOKUP('Données projet'!$B$17,Paramètres!$A$1:$I$89,3,0)*0.475*44/12</f>
        <v>5.76396671283855E-13</v>
      </c>
      <c r="GO124" s="21">
        <f t="shared" si="81"/>
        <v>1.4465022460227894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5.6843418860808015E-14</v>
      </c>
      <c r="GV124" s="17">
        <f>GU124*VLOOKUP('Données projet'!$B$18,Paramètres!$A$1:$I$89,3,0)*VLOOKUP('Données projet'!$B$18,Paramètres!$A$1:$I$89,5,0)</f>
        <v>4.5224624045658861E-14</v>
      </c>
      <c r="GW124" s="13">
        <f t="shared" si="105"/>
        <v>7.4514601661523691E-13</v>
      </c>
      <c r="GX124" s="20">
        <f t="shared" si="82"/>
        <v>1.3765621991510601E-12</v>
      </c>
      <c r="GY124" s="59">
        <f t="shared" si="83"/>
        <v>293.33333333333468</v>
      </c>
      <c r="GZ124" s="59">
        <f ca="1">AVERAGE(OFFSET($GY$3,0,0,'Données projet'!$E$18+1,1))-AVERAGE(OFFSET($H$3,0,0,'Données projet'!$E$18+1,1))</f>
        <v>199.58763537752952</v>
      </c>
      <c r="HA124" s="59">
        <f t="shared" si="106"/>
        <v>242.62852778451929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0</v>
      </c>
      <c r="HH124" s="21">
        <f>EXP(-LN(2)/25)*HH123+(1-EXP(-LN(2)/25))/(LN(2)/25)*Calculateur!HC124*Calculateur!HE124*VLOOKUP('Données projet'!$B$18,Paramètres!$A$1:$I$89,3,0)*0.475*44/12</f>
        <v>0.82483989405456848</v>
      </c>
      <c r="HI124" s="21">
        <f>EXP(-LN(2)/2)*HI123+(1-EXP(-LN(2)/2))/(LN(2)/2)*HC124*HF124*VLOOKUP('Données projet'!$B$18,Paramètres!$A$1:$I$89,3,0)*0.475*44/12</f>
        <v>2.1627701346406593E-13</v>
      </c>
      <c r="HJ124" s="22">
        <f t="shared" si="84"/>
        <v>0.82483989405478475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-1.0286385077051818E-13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237.22177246688199</v>
      </c>
      <c r="T125" s="59">
        <f t="shared" si="88"/>
        <v>149.27472147904302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0.24232734398242525</v>
      </c>
      <c r="AB125" s="21">
        <f>EXP(-LN(2)/2)*AB124+(1-EXP(-LN(2)/2))/(LN(2)/2)*V125*Y125*VLOOKUP('Données projet'!$B$9,Paramètres!$A$1:$I$89,3,0)*0.475*44/12</f>
        <v>8.7955923141129621E-14</v>
      </c>
      <c r="AC125" s="22">
        <f t="shared" si="57"/>
        <v>0.24232734398251321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-1.1527845344971866E-13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279.20364724206644</v>
      </c>
      <c r="AO125" s="59">
        <f t="shared" si="90"/>
        <v>173.99850582760712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0.27157374756651087</v>
      </c>
      <c r="AW125" s="21">
        <f>EXP(-LN(2)/2)*AW124+(1-EXP(-LN(2)/2))/(LN(2)/2)*AQ125*AT125*VLOOKUP('Données projet'!$B$10,Paramètres!$A$1:$I$89,3,0)*0.475*44/12</f>
        <v>9.857129317540387E-14</v>
      </c>
      <c r="AX125" s="21">
        <f t="shared" si="60"/>
        <v>0.27157374756660946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-5.3205440053716299E-14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215.23235148064941</v>
      </c>
      <c r="BJ125" s="59">
        <f t="shared" si="92"/>
        <v>184.07239726900434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0.50687483999566429</v>
      </c>
      <c r="BQ125" s="21">
        <f>EXP(-LN(2)/25)*BQ124+(1-EXP(-LN(2)/25))/(LN(2)/25)*Calculateur!BL125*Calculateur!BN125*VLOOKUP('Données projet'!$B$11,Paramètres!$A$1:$I$89,3,0)*0.475*44/12</f>
        <v>0.6128885080560883</v>
      </c>
      <c r="BR125" s="21">
        <f>EXP(-LN(2)/2)*BR124+(1-EXP(-LN(2)/2))/(LN(2)/2)*BL125*BO125*VLOOKUP('Données projet'!$B$11,Paramètres!$A$1:$I$89,3,0)*0.475*44/12</f>
        <v>1.3972363149571254E-13</v>
      </c>
      <c r="BS125" s="22">
        <f t="shared" si="63"/>
        <v>1.1197633480518923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-1.223725121235475E-13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303.1504619632214</v>
      </c>
      <c r="CE125" s="59">
        <f t="shared" si="94"/>
        <v>188.09929616366503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0.28828597818598872</v>
      </c>
      <c r="CM125" s="21">
        <f>EXP(-LN(2)/2)*CM124+(1-EXP(-LN(2)/2))/(LN(2)/2)*CG125*CJ125*VLOOKUP('Données projet'!$B$12,Paramètres!$A$1:$I$89,3,0)*0.475*44/12</f>
        <v>1.0463721890927507E-13</v>
      </c>
      <c r="CN125" s="22">
        <f t="shared" si="66"/>
        <v>0.28828597818609336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5.6843418860808015E-14</v>
      </c>
      <c r="CU125" s="17">
        <f>CT125*VLOOKUP('Données projet'!$B$13,Paramètres!$A$1:$I$89,3,0)*VLOOKUP('Données projet'!$B$13,Paramètres!$A$1:$I$89,5,0)</f>
        <v>3.813056537183002E-14</v>
      </c>
      <c r="CV125" s="13">
        <f t="shared" si="95"/>
        <v>6.4086286045526829E-13</v>
      </c>
      <c r="CW125" s="20">
        <f t="shared" si="67"/>
        <v>1.1825802166488628E-12</v>
      </c>
      <c r="CX125" s="59">
        <f t="shared" si="68"/>
        <v>293.33333333333451</v>
      </c>
      <c r="CY125" s="59">
        <f ca="1">AVERAGE(OFFSET($CX$3,0,0,'Données projet'!$E$13+1,1))-AVERAGE(OFFSET($H$3,0,0,'Données projet'!$E$13+1,1))</f>
        <v>156.63226020379989</v>
      </c>
      <c r="CZ125" s="59">
        <f t="shared" si="96"/>
        <v>196.0481096619543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0.67643603847713107</v>
      </c>
      <c r="DH125" s="21">
        <f>EXP(-LN(2)/2)*DH124+(1-EXP(-LN(2)/2))/(LN(2)/2)*DB125*DE125*VLOOKUP('Données projet'!$B$13,Paramètres!$A$1:$I$89,3,0)*0.475*44/12</f>
        <v>1.2894177533165196E-13</v>
      </c>
      <c r="DI125" s="22">
        <f t="shared" si="69"/>
        <v>0.67643603847725997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-8.5265128291212022E-14</v>
      </c>
      <c r="DP125" s="17">
        <f>DO125*VLOOKUP('Données projet'!$B$14,Paramètres!$A$1:$I$89,3,0)*VLOOKUP('Données projet'!$B$14,Paramètres!$A$1:$I$89,5,0)</f>
        <v>-7.7147888077888636E-14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225.28075317732998</v>
      </c>
      <c r="DU125" s="59">
        <f t="shared" si="98"/>
        <v>358.43407531256207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0.36278714550506813</v>
      </c>
      <c r="EB125" s="21">
        <f>EXP(-LN(2)/25)*EB124+(1-EXP(-LN(2)/25))/(LN(2)/25)*Calculateur!DW125*Calculateur!DY125*VLOOKUP('Données projet'!$B$14,Paramètres!$A$1:$I$89,3,0)*0.475*44/12</f>
        <v>0.64539131599788013</v>
      </c>
      <c r="EC125" s="21">
        <f>EXP(-LN(2)/2)*EC124+(1-EXP(-LN(2)/2))/(LN(2)/2)*DW125*DZ125*VLOOKUP('Données projet'!$B$14,Paramètres!$A$1:$I$89,3,0)*0.475*44/12</f>
        <v>6.2727012774665861E-14</v>
      </c>
      <c r="ED125" s="22">
        <f t="shared" si="72"/>
        <v>1.0081784615030109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-5.6843418860808015E-13</v>
      </c>
      <c r="EK125" s="17">
        <f>EJ125*VLOOKUP('Données projet'!$B$15,Paramètres!$A$1:$I$89,3,0)*VLOOKUP('Données projet'!$B$15,Paramètres!$A$1:$I$89,5,0)</f>
        <v>-3.177547114319168E-13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326.31232746914907</v>
      </c>
      <c r="EP125" s="59">
        <f t="shared" si="100"/>
        <v>330.17137761430297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0.73865566128634719</v>
      </c>
      <c r="EW125" s="21">
        <f>EXP(-LN(2)/25)*EW124+(1-EXP(-LN(2)/25))/(LN(2)/25)*Calculateur!ER125*Calculateur!ET125*VLOOKUP('Données projet'!$B$15,Paramètres!$A$1:$I$89,3,0)*0.475*44/12</f>
        <v>2.3541133171275708</v>
      </c>
      <c r="EX125" s="21">
        <f>EXP(-LN(2)/2)*EX124+(1-EXP(-LN(2)/2))/(LN(2)/2)*ER125*EU125*VLOOKUP('Données projet'!$B$15,Paramètres!$A$1:$I$89,3,0)*0.475*44/12</f>
        <v>4.621666728672159E-13</v>
      </c>
      <c r="EY125" s="22">
        <f t="shared" si="75"/>
        <v>3.0927689784143801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255.41017495879987</v>
      </c>
      <c r="FK125" s="59">
        <f t="shared" si="102"/>
        <v>297.50513563712764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1.3492568527513822</v>
      </c>
      <c r="FR125" s="21">
        <f>EXP(-LN(2)/25)*FR124+(1-EXP(-LN(2)/25))/(LN(2)/25)*Calculateur!FM125*Calculateur!FO125*VLOOKUP('Données projet'!$B$16,Paramètres!$A$1:$I$89,3,0)*0.475*44/12</f>
        <v>2.1744254535040084</v>
      </c>
      <c r="FS125" s="21">
        <f>EXP(-LN(2)/2)*FS124+(1-EXP(-LN(2)/2))/(LN(2)/2)*FM125*FP125*VLOOKUP('Données projet'!$B$16,Paramètres!$A$1:$I$89,3,0)*0.475*44/12</f>
        <v>3.4676178212452953E-13</v>
      </c>
      <c r="FT125" s="22">
        <f t="shared" si="78"/>
        <v>3.5236823062557376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1.1368683772161603E-13</v>
      </c>
      <c r="GA125" s="17">
        <f>FZ125*VLOOKUP('Données projet'!$B$17,Paramètres!$A$1:$I$89,3,0)*VLOOKUP('Données projet'!$B$17,Paramètres!$A$1:$I$89,5,0)</f>
        <v>6.7984728957526396E-14</v>
      </c>
      <c r="GB125" s="13">
        <f t="shared" si="103"/>
        <v>1.0682447123141398E-12</v>
      </c>
      <c r="GC125" s="20">
        <f t="shared" si="79"/>
        <v>1.978932943548152E-12</v>
      </c>
      <c r="GD125" s="59">
        <f t="shared" si="80"/>
        <v>293.3333333333353</v>
      </c>
      <c r="GE125" s="59">
        <f ca="1">AVERAGE(OFFSET($GD$3,0,0,'Données projet'!$E$17+1,1))-AVERAGE(OFFSET($H$3,0,0,'Données projet'!$E$17+1,1))</f>
        <v>259.30247982593914</v>
      </c>
      <c r="GF125" s="59">
        <f t="shared" si="104"/>
        <v>275.24740346220779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</v>
      </c>
      <c r="GM125" s="21">
        <f>EXP(-LN(2)/25)*GM124+(1-EXP(-LN(2)/25))/(LN(2)/25)*Calculateur!GH125*Calculateur!GJ125*VLOOKUP('Données projet'!$B$17,Paramètres!$A$1:$I$89,3,0)*0.475*44/12</f>
        <v>1.4069475660364885</v>
      </c>
      <c r="GN125" s="21">
        <f>EXP(-LN(2)/2)*GN124+(1-EXP(-LN(2)/2))/(LN(2)/2)*GH125*GK125*VLOOKUP('Données projet'!$B$17,Paramètres!$A$1:$I$89,3,0)*0.475*44/12</f>
        <v>4.0757399491816722E-13</v>
      </c>
      <c r="GO125" s="21">
        <f t="shared" si="81"/>
        <v>1.4069475660368962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5.6843418860808015E-14</v>
      </c>
      <c r="GV125" s="17">
        <f>GU125*VLOOKUP('Données projet'!$B$18,Paramètres!$A$1:$I$89,3,0)*VLOOKUP('Données projet'!$B$18,Paramètres!$A$1:$I$89,5,0)</f>
        <v>4.5224624045658861E-14</v>
      </c>
      <c r="GW125" s="13">
        <f t="shared" si="105"/>
        <v>7.4514601661523691E-13</v>
      </c>
      <c r="GX125" s="20">
        <f t="shared" si="82"/>
        <v>1.3765621991510601E-12</v>
      </c>
      <c r="GY125" s="59">
        <f t="shared" si="83"/>
        <v>293.33333333333468</v>
      </c>
      <c r="GZ125" s="59">
        <f ca="1">AVERAGE(OFFSET($GY$3,0,0,'Données projet'!$E$18+1,1))-AVERAGE(OFFSET($H$3,0,0,'Données projet'!$E$18+1,1))</f>
        <v>199.58763537752952</v>
      </c>
      <c r="HA125" s="59">
        <f t="shared" si="106"/>
        <v>242.62852778451929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0</v>
      </c>
      <c r="HH125" s="21">
        <f>EXP(-LN(2)/25)*HH124+(1-EXP(-LN(2)/25))/(LN(2)/25)*Calculateur!HC125*Calculateur!HE125*VLOOKUP('Données projet'!$B$18,Paramètres!$A$1:$I$89,3,0)*0.475*44/12</f>
        <v>0.8022846037752015</v>
      </c>
      <c r="HI125" s="21">
        <f>EXP(-LN(2)/2)*HI124+(1-EXP(-LN(2)/2))/(LN(2)/2)*HC125*HF125*VLOOKUP('Données projet'!$B$18,Paramètres!$A$1:$I$89,3,0)*0.475*44/12</f>
        <v>1.5293094283521526E-13</v>
      </c>
      <c r="HJ125" s="22">
        <f t="shared" si="84"/>
        <v>0.80228460377535438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-1.0286385077051818E-13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237.22177246688199</v>
      </c>
      <c r="T126" s="59">
        <f t="shared" si="88"/>
        <v>149.27472147904302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0.23570089001778466</v>
      </c>
      <c r="AB126" s="21">
        <f>EXP(-LN(2)/2)*AB125+(1-EXP(-LN(2)/2))/(LN(2)/2)*V126*Y126*VLOOKUP('Données projet'!$B$9,Paramètres!$A$1:$I$89,3,0)*0.475*44/12</f>
        <v>6.2194229698615533E-14</v>
      </c>
      <c r="AC126" s="22">
        <f t="shared" si="57"/>
        <v>0.23570089001784686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-1.1527845344971866E-13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279.20364724206644</v>
      </c>
      <c r="AO126" s="59">
        <f t="shared" si="90"/>
        <v>173.99850582760712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0.26414754915786193</v>
      </c>
      <c r="AW126" s="21">
        <f>EXP(-LN(2)/2)*AW125+(1-EXP(-LN(2)/2))/(LN(2)/2)*AQ126*AT126*VLOOKUP('Données projet'!$B$10,Paramètres!$A$1:$I$89,3,0)*0.475*44/12</f>
        <v>6.9700429834655329E-14</v>
      </c>
      <c r="AX126" s="21">
        <f t="shared" si="60"/>
        <v>0.26414754915793165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-5.3205440053716299E-14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215.23235148064941</v>
      </c>
      <c r="BJ126" s="59">
        <f t="shared" si="92"/>
        <v>184.07239726900434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0.4969353335464744</v>
      </c>
      <c r="BQ126" s="21">
        <f>EXP(-LN(2)/25)*BQ125+(1-EXP(-LN(2)/25))/(LN(2)/25)*Calculateur!BL126*Calculateur!BN126*VLOOKUP('Données projet'!$B$11,Paramètres!$A$1:$I$89,3,0)*0.475*44/12</f>
        <v>0.59612903957288865</v>
      </c>
      <c r="BR126" s="21">
        <f>EXP(-LN(2)/2)*BR125+(1-EXP(-LN(2)/2))/(LN(2)/2)*BL126*BO126*VLOOKUP('Données projet'!$B$11,Paramètres!$A$1:$I$89,3,0)*0.475*44/12</f>
        <v>9.8799527322628607E-14</v>
      </c>
      <c r="BS126" s="22">
        <f t="shared" si="63"/>
        <v>1.0930643731194618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-1.223725121235475E-13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303.1504619632214</v>
      </c>
      <c r="CE126" s="59">
        <f t="shared" si="94"/>
        <v>188.09929616366503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0.28040278295219218</v>
      </c>
      <c r="CM126" s="21">
        <f>EXP(-LN(2)/2)*CM125+(1-EXP(-LN(2)/2))/(LN(2)/2)*CG126*CJ126*VLOOKUP('Données projet'!$B$12,Paramètres!$A$1:$I$89,3,0)*0.475*44/12</f>
        <v>7.3989687055249642E-14</v>
      </c>
      <c r="CN126" s="22">
        <f t="shared" si="66"/>
        <v>0.28040278295226617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5.6843418860808015E-14</v>
      </c>
      <c r="CU126" s="17">
        <f>CT126*VLOOKUP('Données projet'!$B$13,Paramètres!$A$1:$I$89,3,0)*VLOOKUP('Données projet'!$B$13,Paramètres!$A$1:$I$89,5,0)</f>
        <v>3.813056537183002E-14</v>
      </c>
      <c r="CV126" s="13">
        <f t="shared" si="95"/>
        <v>6.4086286045526829E-13</v>
      </c>
      <c r="CW126" s="20">
        <f t="shared" si="67"/>
        <v>1.1825802166488628E-12</v>
      </c>
      <c r="CX126" s="59">
        <f t="shared" si="68"/>
        <v>293.33333333333451</v>
      </c>
      <c r="CY126" s="59">
        <f ca="1">AVERAGE(OFFSET($CX$3,0,0,'Données projet'!$E$13+1,1))-AVERAGE(OFFSET($H$3,0,0,'Données projet'!$E$13+1,1))</f>
        <v>156.63226020379989</v>
      </c>
      <c r="CZ126" s="59">
        <f t="shared" si="96"/>
        <v>196.0481096619543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0.65793885943274866</v>
      </c>
      <c r="DH126" s="21">
        <f>EXP(-LN(2)/2)*DH125+(1-EXP(-LN(2)/2))/(LN(2)/2)*DB126*DE126*VLOOKUP('Données projet'!$B$13,Paramètres!$A$1:$I$89,3,0)*0.475*44/12</f>
        <v>9.1175603715243395E-14</v>
      </c>
      <c r="DI126" s="22">
        <f t="shared" si="69"/>
        <v>0.65793885943283981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-8.5265128291212022E-14</v>
      </c>
      <c r="DP126" s="17">
        <f>DO126*VLOOKUP('Données projet'!$B$14,Paramètres!$A$1:$I$89,3,0)*VLOOKUP('Données projet'!$B$14,Paramètres!$A$1:$I$89,5,0)</f>
        <v>-7.7147888077888636E-14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225.28075317732998</v>
      </c>
      <c r="DU126" s="59">
        <f t="shared" si="98"/>
        <v>358.43407531256207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0.35567311086002307</v>
      </c>
      <c r="EB126" s="21">
        <f>EXP(-LN(2)/25)*EB125+(1-EXP(-LN(2)/25))/(LN(2)/25)*Calculateur!DW126*Calculateur!DY126*VLOOKUP('Données projet'!$B$14,Paramètres!$A$1:$I$89,3,0)*0.475*44/12</f>
        <v>0.62774305652226381</v>
      </c>
      <c r="EC126" s="21">
        <f>EXP(-LN(2)/2)*EC125+(1-EXP(-LN(2)/2))/(LN(2)/2)*DW126*DZ126*VLOOKUP('Données projet'!$B$14,Paramètres!$A$1:$I$89,3,0)*0.475*44/12</f>
        <v>4.4354696096541424E-14</v>
      </c>
      <c r="ED126" s="22">
        <f t="shared" si="72"/>
        <v>0.98341616738233129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-5.6843418860808015E-13</v>
      </c>
      <c r="EK126" s="17">
        <f>EJ126*VLOOKUP('Données projet'!$B$15,Paramètres!$A$1:$I$89,3,0)*VLOOKUP('Données projet'!$B$15,Paramètres!$A$1:$I$89,5,0)</f>
        <v>-3.177547114319168E-13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326.31232746914907</v>
      </c>
      <c r="EP126" s="59">
        <f t="shared" si="100"/>
        <v>330.17137761430297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0.72417107430398864</v>
      </c>
      <c r="EW126" s="21">
        <f>EXP(-LN(2)/25)*EW125+(1-EXP(-LN(2)/25))/(LN(2)/25)*Calculateur!ER126*Calculateur!ET126*VLOOKUP('Données projet'!$B$15,Paramètres!$A$1:$I$89,3,0)*0.475*44/12</f>
        <v>2.2897399646732786</v>
      </c>
      <c r="EX126" s="21">
        <f>EXP(-LN(2)/2)*EX125+(1-EXP(-LN(2)/2))/(LN(2)/2)*ER126*EU126*VLOOKUP('Données projet'!$B$15,Paramètres!$A$1:$I$89,3,0)*0.475*44/12</f>
        <v>3.2680118842283312E-13</v>
      </c>
      <c r="EY126" s="22">
        <f t="shared" si="75"/>
        <v>3.0139110389775938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255.41017495879987</v>
      </c>
      <c r="FK126" s="59">
        <f t="shared" si="102"/>
        <v>297.50513563712764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1.3227987488343467</v>
      </c>
      <c r="FR126" s="21">
        <f>EXP(-LN(2)/25)*FR125+(1-EXP(-LN(2)/25))/(LN(2)/25)*Calculateur!FM126*Calculateur!FO126*VLOOKUP('Données projet'!$B$16,Paramètres!$A$1:$I$89,3,0)*0.475*44/12</f>
        <v>2.1149656751298762</v>
      </c>
      <c r="FS126" s="21">
        <f>EXP(-LN(2)/2)*FS125+(1-EXP(-LN(2)/2))/(LN(2)/2)*FM126*FP126*VLOOKUP('Données projet'!$B$16,Paramètres!$A$1:$I$89,3,0)*0.475*44/12</f>
        <v>2.4519760759658697E-13</v>
      </c>
      <c r="FT126" s="22">
        <f t="shared" si="78"/>
        <v>3.437764423964468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1.1368683772161603E-13</v>
      </c>
      <c r="GA126" s="17">
        <f>FZ126*VLOOKUP('Données projet'!$B$17,Paramètres!$A$1:$I$89,3,0)*VLOOKUP('Données projet'!$B$17,Paramètres!$A$1:$I$89,5,0)</f>
        <v>6.7984728957526396E-14</v>
      </c>
      <c r="GB126" s="13">
        <f t="shared" si="103"/>
        <v>1.0682447123141398E-12</v>
      </c>
      <c r="GC126" s="20">
        <f t="shared" si="79"/>
        <v>1.978932943548152E-12</v>
      </c>
      <c r="GD126" s="59">
        <f t="shared" si="80"/>
        <v>293.3333333333353</v>
      </c>
      <c r="GE126" s="59">
        <f ca="1">AVERAGE(OFFSET($GD$3,0,0,'Données projet'!$E$17+1,1))-AVERAGE(OFFSET($H$3,0,0,'Données projet'!$E$17+1,1))</f>
        <v>259.30247982593914</v>
      </c>
      <c r="GF126" s="59">
        <f t="shared" si="104"/>
        <v>275.24740346220779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</v>
      </c>
      <c r="GM126" s="21">
        <f>EXP(-LN(2)/25)*GM125+(1-EXP(-LN(2)/25))/(LN(2)/25)*Calculateur!GH126*Calculateur!GJ126*VLOOKUP('Données projet'!$B$17,Paramètres!$A$1:$I$89,3,0)*0.475*44/12</f>
        <v>1.3684745108550638</v>
      </c>
      <c r="GN126" s="21">
        <f>EXP(-LN(2)/2)*GN125+(1-EXP(-LN(2)/2))/(LN(2)/2)*GH126*GK126*VLOOKUP('Données projet'!$B$17,Paramètres!$A$1:$I$89,3,0)*0.475*44/12</f>
        <v>2.881983356419275E-13</v>
      </c>
      <c r="GO126" s="21">
        <f t="shared" si="81"/>
        <v>1.368474510855352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5.6843418860808015E-14</v>
      </c>
      <c r="GV126" s="17">
        <f>GU126*VLOOKUP('Données projet'!$B$18,Paramètres!$A$1:$I$89,3,0)*VLOOKUP('Données projet'!$B$18,Paramètres!$A$1:$I$89,5,0)</f>
        <v>4.5224624045658861E-14</v>
      </c>
      <c r="GW126" s="13">
        <f t="shared" si="105"/>
        <v>7.4514601661523691E-13</v>
      </c>
      <c r="GX126" s="20">
        <f t="shared" si="82"/>
        <v>1.3765621991510601E-12</v>
      </c>
      <c r="GY126" s="59">
        <f t="shared" si="83"/>
        <v>293.33333333333468</v>
      </c>
      <c r="GZ126" s="59">
        <f ca="1">AVERAGE(OFFSET($GY$3,0,0,'Données projet'!$E$18+1,1))-AVERAGE(OFFSET($H$3,0,0,'Données projet'!$E$18+1,1))</f>
        <v>199.58763537752952</v>
      </c>
      <c r="HA126" s="59">
        <f t="shared" si="106"/>
        <v>242.62852778451929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0</v>
      </c>
      <c r="HH126" s="21">
        <f>EXP(-LN(2)/25)*HH125+(1-EXP(-LN(2)/25))/(LN(2)/25)*Calculateur!HC126*Calculateur!HE126*VLOOKUP('Données projet'!$B$18,Paramètres!$A$1:$I$89,3,0)*0.475*44/12</f>
        <v>0.78034608909465497</v>
      </c>
      <c r="HI126" s="21">
        <f>EXP(-LN(2)/2)*HI125+(1-EXP(-LN(2)/2))/(LN(2)/2)*HC126*HF126*VLOOKUP('Données projet'!$B$18,Paramètres!$A$1:$I$89,3,0)*0.475*44/12</f>
        <v>1.0813850673203297E-13</v>
      </c>
      <c r="HJ126" s="22">
        <f t="shared" si="84"/>
        <v>0.78034608909476311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-1.0286385077051818E-13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237.22177246688199</v>
      </c>
      <c r="T127" s="59">
        <f t="shared" si="88"/>
        <v>149.27472147904302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0.22925563678527724</v>
      </c>
      <c r="AB127" s="21">
        <f>EXP(-LN(2)/2)*AB126+(1-EXP(-LN(2)/2))/(LN(2)/2)*V127*Y127*VLOOKUP('Données projet'!$B$9,Paramètres!$A$1:$I$89,3,0)*0.475*44/12</f>
        <v>4.397796157056481E-14</v>
      </c>
      <c r="AC127" s="22">
        <f t="shared" si="57"/>
        <v>0.22925563678532121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-1.1527845344971866E-13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279.20364724206644</v>
      </c>
      <c r="AO127" s="59">
        <f t="shared" si="90"/>
        <v>173.99850582760712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0.2569244205352243</v>
      </c>
      <c r="AW127" s="21">
        <f>EXP(-LN(2)/2)*AW126+(1-EXP(-LN(2)/2))/(LN(2)/2)*AQ127*AT127*VLOOKUP('Données projet'!$B$10,Paramètres!$A$1:$I$89,3,0)*0.475*44/12</f>
        <v>4.9285646587701935E-14</v>
      </c>
      <c r="AX127" s="21">
        <f t="shared" si="60"/>
        <v>0.25692442053527359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-5.3205440053716299E-14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215.23235148064941</v>
      </c>
      <c r="BJ127" s="59">
        <f t="shared" si="92"/>
        <v>184.07239726900434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0.4871907347562528</v>
      </c>
      <c r="BQ127" s="21">
        <f>EXP(-LN(2)/25)*BQ126+(1-EXP(-LN(2)/25))/(LN(2)/25)*Calculateur!BL127*Calculateur!BN127*VLOOKUP('Données projet'!$B$11,Paramètres!$A$1:$I$89,3,0)*0.475*44/12</f>
        <v>0.57982785963670425</v>
      </c>
      <c r="BR127" s="21">
        <f>EXP(-LN(2)/2)*BR126+(1-EXP(-LN(2)/2))/(LN(2)/2)*BL127*BO127*VLOOKUP('Données projet'!$B$11,Paramètres!$A$1:$I$89,3,0)*0.475*44/12</f>
        <v>6.9861815747856269E-14</v>
      </c>
      <c r="BS127" s="22">
        <f t="shared" si="63"/>
        <v>1.067018594393027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-1.223725121235475E-13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303.1504619632214</v>
      </c>
      <c r="CE127" s="59">
        <f t="shared" si="94"/>
        <v>188.09929616366503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0.27273515410662297</v>
      </c>
      <c r="CM127" s="21">
        <f>EXP(-LN(2)/2)*CM126+(1-EXP(-LN(2)/2))/(LN(2)/2)*CG127*CJ127*VLOOKUP('Données projet'!$B$12,Paramètres!$A$1:$I$89,3,0)*0.475*44/12</f>
        <v>5.2318609454637537E-14</v>
      </c>
      <c r="CN127" s="22">
        <f t="shared" si="66"/>
        <v>0.27273515410667526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5.6843418860808015E-14</v>
      </c>
      <c r="CU127" s="17">
        <f>CT127*VLOOKUP('Données projet'!$B$13,Paramètres!$A$1:$I$89,3,0)*VLOOKUP('Données projet'!$B$13,Paramètres!$A$1:$I$89,5,0)</f>
        <v>3.813056537183002E-14</v>
      </c>
      <c r="CV127" s="13">
        <f t="shared" si="95"/>
        <v>6.4086286045526829E-13</v>
      </c>
      <c r="CW127" s="20">
        <f t="shared" si="67"/>
        <v>1.1825802166488628E-12</v>
      </c>
      <c r="CX127" s="59">
        <f t="shared" si="68"/>
        <v>293.33333333333451</v>
      </c>
      <c r="CY127" s="59">
        <f ca="1">AVERAGE(OFFSET($CX$3,0,0,'Données projet'!$E$13+1,1))-AVERAGE(OFFSET($H$3,0,0,'Données projet'!$E$13+1,1))</f>
        <v>156.63226020379989</v>
      </c>
      <c r="CZ127" s="59">
        <f t="shared" si="96"/>
        <v>196.0481096619543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0.63994748672205926</v>
      </c>
      <c r="DH127" s="21">
        <f>EXP(-LN(2)/2)*DH126+(1-EXP(-LN(2)/2))/(LN(2)/2)*DB127*DE127*VLOOKUP('Données projet'!$B$13,Paramètres!$A$1:$I$89,3,0)*0.475*44/12</f>
        <v>6.4470887665825981E-14</v>
      </c>
      <c r="DI127" s="22">
        <f t="shared" si="69"/>
        <v>0.63994748672212376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-8.5265128291212022E-14</v>
      </c>
      <c r="DP127" s="17">
        <f>DO127*VLOOKUP('Données projet'!$B$14,Paramètres!$A$1:$I$89,3,0)*VLOOKUP('Données projet'!$B$14,Paramètres!$A$1:$I$89,5,0)</f>
        <v>-7.7147888077888636E-14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225.28075317732998</v>
      </c>
      <c r="DU127" s="59">
        <f t="shared" si="98"/>
        <v>358.43407531256207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0.34869857809523469</v>
      </c>
      <c r="EB127" s="21">
        <f>EXP(-LN(2)/25)*EB126+(1-EXP(-LN(2)/25))/(LN(2)/25)*Calculateur!DW127*Calculateur!DY127*VLOOKUP('Données projet'!$B$14,Paramètres!$A$1:$I$89,3,0)*0.475*44/12</f>
        <v>0.6105773896300899</v>
      </c>
      <c r="EC127" s="21">
        <f>EXP(-LN(2)/2)*EC126+(1-EXP(-LN(2)/2))/(LN(2)/2)*DW127*DZ127*VLOOKUP('Données projet'!$B$14,Paramètres!$A$1:$I$89,3,0)*0.475*44/12</f>
        <v>3.136350638733293E-14</v>
      </c>
      <c r="ED127" s="22">
        <f t="shared" si="72"/>
        <v>0.95927596772535595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-5.6843418860808015E-13</v>
      </c>
      <c r="EK127" s="17">
        <f>EJ127*VLOOKUP('Données projet'!$B$15,Paramètres!$A$1:$I$89,3,0)*VLOOKUP('Données projet'!$B$15,Paramètres!$A$1:$I$89,5,0)</f>
        <v>-3.177547114319168E-13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326.31232746914907</v>
      </c>
      <c r="EP127" s="59">
        <f t="shared" si="100"/>
        <v>330.17137761430297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0.70997052123762838</v>
      </c>
      <c r="EW127" s="21">
        <f>EXP(-LN(2)/25)*EW126+(1-EXP(-LN(2)/25))/(LN(2)/25)*Calculateur!ER127*Calculateur!ET127*VLOOKUP('Données projet'!$B$15,Paramètres!$A$1:$I$89,3,0)*0.475*44/12</f>
        <v>2.2271269049270961</v>
      </c>
      <c r="EX127" s="21">
        <f>EXP(-LN(2)/2)*EX126+(1-EXP(-LN(2)/2))/(LN(2)/2)*ER127*EU127*VLOOKUP('Données projet'!$B$15,Paramètres!$A$1:$I$89,3,0)*0.475*44/12</f>
        <v>2.3108333643360795E-13</v>
      </c>
      <c r="EY127" s="22">
        <f t="shared" si="75"/>
        <v>2.9370974261649554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255.41017495879987</v>
      </c>
      <c r="FK127" s="59">
        <f t="shared" si="102"/>
        <v>297.50513563712764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1.2968594721972744</v>
      </c>
      <c r="FR127" s="21">
        <f>EXP(-LN(2)/25)*FR126+(1-EXP(-LN(2)/25))/(LN(2)/25)*Calculateur!FM127*Calculateur!FO127*VLOOKUP('Données projet'!$B$16,Paramètres!$A$1:$I$89,3,0)*0.475*44/12</f>
        <v>2.0571318275222388</v>
      </c>
      <c r="FS127" s="21">
        <f>EXP(-LN(2)/2)*FS126+(1-EXP(-LN(2)/2))/(LN(2)/2)*FM127*FP127*VLOOKUP('Données projet'!$B$16,Paramètres!$A$1:$I$89,3,0)*0.475*44/12</f>
        <v>1.7338089106226477E-13</v>
      </c>
      <c r="FT127" s="22">
        <f t="shared" si="78"/>
        <v>3.3539912997196861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1.1368683772161603E-13</v>
      </c>
      <c r="GA127" s="17">
        <f>FZ127*VLOOKUP('Données projet'!$B$17,Paramètres!$A$1:$I$89,3,0)*VLOOKUP('Données projet'!$B$17,Paramètres!$A$1:$I$89,5,0)</f>
        <v>6.7984728957526396E-14</v>
      </c>
      <c r="GB127" s="13">
        <f t="shared" si="103"/>
        <v>1.0682447123141398E-12</v>
      </c>
      <c r="GC127" s="20">
        <f t="shared" si="79"/>
        <v>1.978932943548152E-12</v>
      </c>
      <c r="GD127" s="59">
        <f t="shared" si="80"/>
        <v>293.3333333333353</v>
      </c>
      <c r="GE127" s="59">
        <f ca="1">AVERAGE(OFFSET($GD$3,0,0,'Données projet'!$E$17+1,1))-AVERAGE(OFFSET($H$3,0,0,'Données projet'!$E$17+1,1))</f>
        <v>259.30247982593914</v>
      </c>
      <c r="GF127" s="59">
        <f t="shared" si="104"/>
        <v>275.24740346220779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</v>
      </c>
      <c r="GM127" s="21">
        <f>EXP(-LN(2)/25)*GM126+(1-EXP(-LN(2)/25))/(LN(2)/25)*Calculateur!GH127*Calculateur!GJ127*VLOOKUP('Données projet'!$B$17,Paramètres!$A$1:$I$89,3,0)*0.475*44/12</f>
        <v>1.3310535033907853</v>
      </c>
      <c r="GN127" s="21">
        <f>EXP(-LN(2)/2)*GN126+(1-EXP(-LN(2)/2))/(LN(2)/2)*GH127*GK127*VLOOKUP('Données projet'!$B$17,Paramètres!$A$1:$I$89,3,0)*0.475*44/12</f>
        <v>2.0378699745908361E-13</v>
      </c>
      <c r="GO127" s="21">
        <f t="shared" si="81"/>
        <v>1.3310535033909892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5.6843418860808015E-14</v>
      </c>
      <c r="GV127" s="17">
        <f>GU127*VLOOKUP('Données projet'!$B$18,Paramètres!$A$1:$I$89,3,0)*VLOOKUP('Données projet'!$B$18,Paramètres!$A$1:$I$89,5,0)</f>
        <v>4.5224624045658861E-14</v>
      </c>
      <c r="GW127" s="13">
        <f t="shared" si="105"/>
        <v>7.4514601661523691E-13</v>
      </c>
      <c r="GX127" s="20">
        <f t="shared" si="82"/>
        <v>1.3765621991510601E-12</v>
      </c>
      <c r="GY127" s="59">
        <f t="shared" si="83"/>
        <v>293.33333333333468</v>
      </c>
      <c r="GZ127" s="59">
        <f ca="1">AVERAGE(OFFSET($GY$3,0,0,'Données projet'!$E$18+1,1))-AVERAGE(OFFSET($H$3,0,0,'Données projet'!$E$18+1,1))</f>
        <v>199.58763537752952</v>
      </c>
      <c r="HA127" s="59">
        <f t="shared" si="106"/>
        <v>242.62852778451929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0</v>
      </c>
      <c r="HH127" s="21">
        <f>EXP(-LN(2)/25)*HH126+(1-EXP(-LN(2)/25))/(LN(2)/25)*Calculateur!HC127*Calculateur!HE127*VLOOKUP('Données projet'!$B$18,Paramètres!$A$1:$I$89,3,0)*0.475*44/12</f>
        <v>0.75900748425174436</v>
      </c>
      <c r="HI127" s="21">
        <f>EXP(-LN(2)/2)*HI126+(1-EXP(-LN(2)/2))/(LN(2)/2)*HC127*HF127*VLOOKUP('Données projet'!$B$18,Paramètres!$A$1:$I$89,3,0)*0.475*44/12</f>
        <v>7.646547141760763E-14</v>
      </c>
      <c r="HJ127" s="22">
        <f t="shared" si="84"/>
        <v>0.75900748425182085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-1.0286385077051818E-13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237.22177246688199</v>
      </c>
      <c r="T128" s="59">
        <f t="shared" si="88"/>
        <v>149.27472147904302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0.22298662934135388</v>
      </c>
      <c r="AB128" s="21">
        <f>EXP(-LN(2)/2)*AB127+(1-EXP(-LN(2)/2))/(LN(2)/2)*V128*Y128*VLOOKUP('Données projet'!$B$9,Paramètres!$A$1:$I$89,3,0)*0.475*44/12</f>
        <v>3.1097114849307767E-14</v>
      </c>
      <c r="AC128" s="22">
        <f t="shared" si="57"/>
        <v>0.22298662934138497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-1.1527845344971866E-13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279.20364724206644</v>
      </c>
      <c r="AO128" s="59">
        <f t="shared" si="90"/>
        <v>173.99850582760712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0.24989880874462053</v>
      </c>
      <c r="AW128" s="21">
        <f>EXP(-LN(2)/2)*AW127+(1-EXP(-LN(2)/2))/(LN(2)/2)*AQ128*AT128*VLOOKUP('Données projet'!$B$10,Paramètres!$A$1:$I$89,3,0)*0.475*44/12</f>
        <v>3.4850214917327665E-14</v>
      </c>
      <c r="AX128" s="21">
        <f t="shared" si="60"/>
        <v>0.24989880874465539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-5.3205440053716299E-14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215.23235148064941</v>
      </c>
      <c r="BJ128" s="59">
        <f t="shared" si="92"/>
        <v>184.07239726900434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0.47763722160468908</v>
      </c>
      <c r="BQ128" s="21">
        <f>EXP(-LN(2)/25)*BQ127+(1-EXP(-LN(2)/25))/(LN(2)/25)*Calculateur!BL128*Calculateur!BN128*VLOOKUP('Données projet'!$B$11,Paramètres!$A$1:$I$89,3,0)*0.475*44/12</f>
        <v>0.56397243632311667</v>
      </c>
      <c r="BR128" s="21">
        <f>EXP(-LN(2)/2)*BR127+(1-EXP(-LN(2)/2))/(LN(2)/2)*BL128*BO128*VLOOKUP('Données projet'!$B$11,Paramètres!$A$1:$I$89,3,0)*0.475*44/12</f>
        <v>4.9399763661314303E-14</v>
      </c>
      <c r="BS128" s="22">
        <f t="shared" si="63"/>
        <v>1.0416096579278551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-1.223725121235475E-13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303.1504619632214</v>
      </c>
      <c r="CE128" s="59">
        <f t="shared" si="94"/>
        <v>188.09929616366503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0.26527719697505897</v>
      </c>
      <c r="CM128" s="21">
        <f>EXP(-LN(2)/2)*CM127+(1-EXP(-LN(2)/2))/(LN(2)/2)*CG128*CJ128*VLOOKUP('Données projet'!$B$12,Paramètres!$A$1:$I$89,3,0)*0.475*44/12</f>
        <v>3.6994843527624821E-14</v>
      </c>
      <c r="CN128" s="22">
        <f t="shared" si="66"/>
        <v>0.26527719697509594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5.6843418860808015E-14</v>
      </c>
      <c r="CU128" s="17">
        <f>CT128*VLOOKUP('Données projet'!$B$13,Paramètres!$A$1:$I$89,3,0)*VLOOKUP('Données projet'!$B$13,Paramètres!$A$1:$I$89,5,0)</f>
        <v>3.813056537183002E-14</v>
      </c>
      <c r="CV128" s="13">
        <f t="shared" si="95"/>
        <v>6.4086286045526829E-13</v>
      </c>
      <c r="CW128" s="20">
        <f t="shared" si="67"/>
        <v>1.1825802166488628E-12</v>
      </c>
      <c r="CX128" s="59">
        <f t="shared" si="68"/>
        <v>293.33333333333451</v>
      </c>
      <c r="CY128" s="59">
        <f ca="1">AVERAGE(OFFSET($CX$3,0,0,'Données projet'!$E$13+1,1))-AVERAGE(OFFSET($H$3,0,0,'Données projet'!$E$13+1,1))</f>
        <v>156.63226020379989</v>
      </c>
      <c r="CZ128" s="59">
        <f t="shared" si="96"/>
        <v>196.0481096619543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0.62244808904426885</v>
      </c>
      <c r="DH128" s="21">
        <f>EXP(-LN(2)/2)*DH127+(1-EXP(-LN(2)/2))/(LN(2)/2)*DB128*DE128*VLOOKUP('Données projet'!$B$13,Paramètres!$A$1:$I$89,3,0)*0.475*44/12</f>
        <v>4.5587801857621697E-14</v>
      </c>
      <c r="DI128" s="22">
        <f t="shared" si="69"/>
        <v>0.62244808904431448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-8.5265128291212022E-14</v>
      </c>
      <c r="DP128" s="17">
        <f>DO128*VLOOKUP('Données projet'!$B$14,Paramètres!$A$1:$I$89,3,0)*VLOOKUP('Données projet'!$B$14,Paramètres!$A$1:$I$89,5,0)</f>
        <v>-7.7147888077888636E-14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225.28075317732998</v>
      </c>
      <c r="DU128" s="59">
        <f t="shared" si="98"/>
        <v>358.43407531256207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0.34186081166391885</v>
      </c>
      <c r="EB128" s="21">
        <f>EXP(-LN(2)/25)*EB127+(1-EXP(-LN(2)/25))/(LN(2)/25)*Calculateur!DW128*Calculateur!DY128*VLOOKUP('Données projet'!$B$14,Paramètres!$A$1:$I$89,3,0)*0.475*44/12</f>
        <v>0.59388111880178562</v>
      </c>
      <c r="EC128" s="21">
        <f>EXP(-LN(2)/2)*EC127+(1-EXP(-LN(2)/2))/(LN(2)/2)*DW128*DZ128*VLOOKUP('Données projet'!$B$14,Paramètres!$A$1:$I$89,3,0)*0.475*44/12</f>
        <v>2.2177348048270712E-14</v>
      </c>
      <c r="ED128" s="22">
        <f t="shared" si="72"/>
        <v>0.93574193046572662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-5.6843418860808015E-13</v>
      </c>
      <c r="EK128" s="17">
        <f>EJ128*VLOOKUP('Données projet'!$B$15,Paramètres!$A$1:$I$89,3,0)*VLOOKUP('Données projet'!$B$15,Paramètres!$A$1:$I$89,5,0)</f>
        <v>-3.177547114319168E-13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326.31232746914907</v>
      </c>
      <c r="EP128" s="59">
        <f t="shared" si="100"/>
        <v>330.17137761430297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0.69604843235541736</v>
      </c>
      <c r="EW128" s="21">
        <f>EXP(-LN(2)/25)*EW127+(1-EXP(-LN(2)/25))/(LN(2)/25)*Calculateur!ER128*Calculateur!ET128*VLOOKUP('Données projet'!$B$15,Paramètres!$A$1:$I$89,3,0)*0.475*44/12</f>
        <v>2.1662260025923508</v>
      </c>
      <c r="EX128" s="21">
        <f>EXP(-LN(2)/2)*EX127+(1-EXP(-LN(2)/2))/(LN(2)/2)*ER128*EU128*VLOOKUP('Données projet'!$B$15,Paramètres!$A$1:$I$89,3,0)*0.475*44/12</f>
        <v>1.6340059421141656E-13</v>
      </c>
      <c r="EY128" s="22">
        <f t="shared" si="75"/>
        <v>2.8622744349479317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255.41017495879987</v>
      </c>
      <c r="FK128" s="59">
        <f t="shared" si="102"/>
        <v>297.50513563712764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1.2714288489536585</v>
      </c>
      <c r="FR128" s="21">
        <f>EXP(-LN(2)/25)*FR127+(1-EXP(-LN(2)/25))/(LN(2)/25)*Calculateur!FM128*Calculateur!FO128*VLOOKUP('Données projet'!$B$16,Paramètres!$A$1:$I$89,3,0)*0.475*44/12</f>
        <v>2.000879449518782</v>
      </c>
      <c r="FS128" s="21">
        <f>EXP(-LN(2)/2)*FS127+(1-EXP(-LN(2)/2))/(LN(2)/2)*FM128*FP128*VLOOKUP('Données projet'!$B$16,Paramètres!$A$1:$I$89,3,0)*0.475*44/12</f>
        <v>1.2259880379829348E-13</v>
      </c>
      <c r="FT128" s="22">
        <f t="shared" si="78"/>
        <v>3.2723082984725629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1.1368683772161603E-13</v>
      </c>
      <c r="GA128" s="17">
        <f>FZ128*VLOOKUP('Données projet'!$B$17,Paramètres!$A$1:$I$89,3,0)*VLOOKUP('Données projet'!$B$17,Paramètres!$A$1:$I$89,5,0)</f>
        <v>6.7984728957526396E-14</v>
      </c>
      <c r="GB128" s="13">
        <f t="shared" si="103"/>
        <v>1.0682447123141398E-12</v>
      </c>
      <c r="GC128" s="20">
        <f t="shared" si="79"/>
        <v>1.978932943548152E-12</v>
      </c>
      <c r="GD128" s="59">
        <f t="shared" si="80"/>
        <v>293.3333333333353</v>
      </c>
      <c r="GE128" s="59">
        <f ca="1">AVERAGE(OFFSET($GD$3,0,0,'Données projet'!$E$17+1,1))-AVERAGE(OFFSET($H$3,0,0,'Données projet'!$E$17+1,1))</f>
        <v>259.30247982593914</v>
      </c>
      <c r="GF128" s="59">
        <f t="shared" si="104"/>
        <v>275.24740346220779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</v>
      </c>
      <c r="GM128" s="21">
        <f>EXP(-LN(2)/25)*GM127+(1-EXP(-LN(2)/25))/(LN(2)/25)*Calculateur!GH128*Calculateur!GJ128*VLOOKUP('Données projet'!$B$17,Paramètres!$A$1:$I$89,3,0)*0.475*44/12</f>
        <v>1.2946557753435026</v>
      </c>
      <c r="GN128" s="21">
        <f>EXP(-LN(2)/2)*GN127+(1-EXP(-LN(2)/2))/(LN(2)/2)*GH128*GK128*VLOOKUP('Données projet'!$B$17,Paramètres!$A$1:$I$89,3,0)*0.475*44/12</f>
        <v>1.4409916782096375E-13</v>
      </c>
      <c r="GO128" s="21">
        <f t="shared" si="81"/>
        <v>1.2946557753436467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5.6843418860808015E-14</v>
      </c>
      <c r="GV128" s="17">
        <f>GU128*VLOOKUP('Données projet'!$B$18,Paramètres!$A$1:$I$89,3,0)*VLOOKUP('Données projet'!$B$18,Paramètres!$A$1:$I$89,5,0)</f>
        <v>4.5224624045658861E-14</v>
      </c>
      <c r="GW128" s="13">
        <f t="shared" si="105"/>
        <v>7.4514601661523691E-13</v>
      </c>
      <c r="GX128" s="20">
        <f t="shared" si="82"/>
        <v>1.3765621991510601E-12</v>
      </c>
      <c r="GY128" s="59">
        <f t="shared" si="83"/>
        <v>293.33333333333468</v>
      </c>
      <c r="GZ128" s="59">
        <f ca="1">AVERAGE(OFFSET($GY$3,0,0,'Données projet'!$E$18+1,1))-AVERAGE(OFFSET($H$3,0,0,'Données projet'!$E$18+1,1))</f>
        <v>199.58763537752952</v>
      </c>
      <c r="HA128" s="59">
        <f t="shared" si="106"/>
        <v>242.62852778451929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0</v>
      </c>
      <c r="HH128" s="21">
        <f>EXP(-LN(2)/25)*HH127+(1-EXP(-LN(2)/25))/(LN(2)/25)*Calculateur!HC128*Calculateur!HE128*VLOOKUP('Données projet'!$B$18,Paramètres!$A$1:$I$89,3,0)*0.475*44/12</f>
        <v>0.73825238468041154</v>
      </c>
      <c r="HI128" s="21">
        <f>EXP(-LN(2)/2)*HI127+(1-EXP(-LN(2)/2))/(LN(2)/2)*HC128*HF128*VLOOKUP('Données projet'!$B$18,Paramètres!$A$1:$I$89,3,0)*0.475*44/12</f>
        <v>5.4069253366016483E-14</v>
      </c>
      <c r="HJ128" s="22">
        <f t="shared" si="84"/>
        <v>0.73825238468046561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-1.0286385077051818E-13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237.22177246688199</v>
      </c>
      <c r="T129" s="59">
        <f t="shared" si="88"/>
        <v>149.27472147904302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0.21688904823565736</v>
      </c>
      <c r="AB129" s="21">
        <f>EXP(-LN(2)/2)*AB128+(1-EXP(-LN(2)/2))/(LN(2)/2)*V129*Y129*VLOOKUP('Données projet'!$B$9,Paramètres!$A$1:$I$89,3,0)*0.475*44/12</f>
        <v>2.1988980785282405E-14</v>
      </c>
      <c r="AC129" s="22">
        <f t="shared" si="57"/>
        <v>0.21688904823567934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-1.1527845344971866E-13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279.20364724206644</v>
      </c>
      <c r="AO129" s="59">
        <f t="shared" si="90"/>
        <v>173.99850582760712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0.24306531267789169</v>
      </c>
      <c r="AW129" s="21">
        <f>EXP(-LN(2)/2)*AW128+(1-EXP(-LN(2)/2))/(LN(2)/2)*AQ129*AT129*VLOOKUP('Données projet'!$B$10,Paramètres!$A$1:$I$89,3,0)*0.475*44/12</f>
        <v>2.4642823293850967E-14</v>
      </c>
      <c r="AX129" s="21">
        <f t="shared" si="60"/>
        <v>0.24306531267791634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-5.3205440053716299E-14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215.23235148064941</v>
      </c>
      <c r="BJ129" s="59">
        <f t="shared" si="92"/>
        <v>184.07239726900434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0.46827104701895989</v>
      </c>
      <c r="BQ129" s="21">
        <f>EXP(-LN(2)/25)*BQ128+(1-EXP(-LN(2)/25))/(LN(2)/25)*Calculateur!BL129*Calculateur!BN129*VLOOKUP('Données projet'!$B$11,Paramètres!$A$1:$I$89,3,0)*0.475*44/12</f>
        <v>0.54855058039383964</v>
      </c>
      <c r="BR129" s="21">
        <f>EXP(-LN(2)/2)*BR128+(1-EXP(-LN(2)/2))/(LN(2)/2)*BL129*BO129*VLOOKUP('Données projet'!$B$11,Paramètres!$A$1:$I$89,3,0)*0.475*44/12</f>
        <v>3.4930907873928134E-14</v>
      </c>
      <c r="BS129" s="22">
        <f t="shared" si="63"/>
        <v>1.0168216274128343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-1.223725121235475E-13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303.1504619632214</v>
      </c>
      <c r="CE129" s="59">
        <f t="shared" si="94"/>
        <v>188.09929616366503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0.25802317807345448</v>
      </c>
      <c r="CM129" s="21">
        <f>EXP(-LN(2)/2)*CM128+(1-EXP(-LN(2)/2))/(LN(2)/2)*CG129*CJ129*VLOOKUP('Données projet'!$B$12,Paramètres!$A$1:$I$89,3,0)*0.475*44/12</f>
        <v>2.6159304727318769E-14</v>
      </c>
      <c r="CN129" s="22">
        <f t="shared" si="66"/>
        <v>0.25802317807348063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5.6843418860808015E-14</v>
      </c>
      <c r="CU129" s="17">
        <f>CT129*VLOOKUP('Données projet'!$B$13,Paramètres!$A$1:$I$89,3,0)*VLOOKUP('Données projet'!$B$13,Paramètres!$A$1:$I$89,5,0)</f>
        <v>3.813056537183002E-14</v>
      </c>
      <c r="CV129" s="13">
        <f t="shared" si="95"/>
        <v>6.4086286045526829E-13</v>
      </c>
      <c r="CW129" s="20">
        <f t="shared" si="67"/>
        <v>1.1825802166488628E-12</v>
      </c>
      <c r="CX129" s="59">
        <f t="shared" si="68"/>
        <v>293.33333333333451</v>
      </c>
      <c r="CY129" s="59">
        <f ca="1">AVERAGE(OFFSET($CX$3,0,0,'Données projet'!$E$13+1,1))-AVERAGE(OFFSET($H$3,0,0,'Données projet'!$E$13+1,1))</f>
        <v>156.63226020379989</v>
      </c>
      <c r="CZ129" s="59">
        <f t="shared" si="96"/>
        <v>196.0481096619543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0.60542721331623095</v>
      </c>
      <c r="DH129" s="21">
        <f>EXP(-LN(2)/2)*DH128+(1-EXP(-LN(2)/2))/(LN(2)/2)*DB129*DE129*VLOOKUP('Données projet'!$B$13,Paramètres!$A$1:$I$89,3,0)*0.475*44/12</f>
        <v>3.223544383291299E-14</v>
      </c>
      <c r="DI129" s="22">
        <f t="shared" si="69"/>
        <v>0.60542721331626315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-8.5265128291212022E-14</v>
      </c>
      <c r="DP129" s="17">
        <f>DO129*VLOOKUP('Données projet'!$B$14,Paramètres!$A$1:$I$89,3,0)*VLOOKUP('Données projet'!$B$14,Paramètres!$A$1:$I$89,5,0)</f>
        <v>-7.7147888077888636E-14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225.28075317732998</v>
      </c>
      <c r="DU129" s="59">
        <f t="shared" si="98"/>
        <v>358.43407531256207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0.33515712966169542</v>
      </c>
      <c r="EB129" s="21">
        <f>EXP(-LN(2)/25)*EB128+(1-EXP(-LN(2)/25))/(LN(2)/25)*Calculateur!DW129*Calculateur!DY129*VLOOKUP('Données projet'!$B$14,Paramètres!$A$1:$I$89,3,0)*0.475*44/12</f>
        <v>0.57764140837730005</v>
      </c>
      <c r="EC129" s="21">
        <f>EXP(-LN(2)/2)*EC128+(1-EXP(-LN(2)/2))/(LN(2)/2)*DW129*DZ129*VLOOKUP('Données projet'!$B$14,Paramètres!$A$1:$I$89,3,0)*0.475*44/12</f>
        <v>1.5681753193666465E-14</v>
      </c>
      <c r="ED129" s="22">
        <f t="shared" si="72"/>
        <v>0.91279853803901112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-5.6843418860808015E-13</v>
      </c>
      <c r="EK129" s="17">
        <f>EJ129*VLOOKUP('Données projet'!$B$15,Paramètres!$A$1:$I$89,3,0)*VLOOKUP('Données projet'!$B$15,Paramètres!$A$1:$I$89,5,0)</f>
        <v>-3.177547114319168E-13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326.31232746914907</v>
      </c>
      <c r="EP129" s="59">
        <f t="shared" si="100"/>
        <v>330.17137761430297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0.68239934714455075</v>
      </c>
      <c r="EW129" s="21">
        <f>EXP(-LN(2)/25)*EW128+(1-EXP(-LN(2)/25))/(LN(2)/25)*Calculateur!ER129*Calculateur!ET129*VLOOKUP('Données projet'!$B$15,Paramètres!$A$1:$I$89,3,0)*0.475*44/12</f>
        <v>2.1069904386345883</v>
      </c>
      <c r="EX129" s="21">
        <f>EXP(-LN(2)/2)*EX128+(1-EXP(-LN(2)/2))/(LN(2)/2)*ER129*EU129*VLOOKUP('Données projet'!$B$15,Paramètres!$A$1:$I$89,3,0)*0.475*44/12</f>
        <v>1.1554166821680398E-13</v>
      </c>
      <c r="EY129" s="22">
        <f t="shared" si="75"/>
        <v>2.7893897857792544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255.41017495879987</v>
      </c>
      <c r="FK129" s="59">
        <f t="shared" si="102"/>
        <v>297.50513563712764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1.2464969047207013</v>
      </c>
      <c r="FR129" s="21">
        <f>EXP(-LN(2)/25)*FR128+(1-EXP(-LN(2)/25))/(LN(2)/25)*Calculateur!FM129*Calculateur!FO129*VLOOKUP('Données projet'!$B$16,Paramètres!$A$1:$I$89,3,0)*0.475*44/12</f>
        <v>1.9461652957500137</v>
      </c>
      <c r="FS129" s="21">
        <f>EXP(-LN(2)/2)*FS128+(1-EXP(-LN(2)/2))/(LN(2)/2)*FM129*FP129*VLOOKUP('Données projet'!$B$16,Paramètres!$A$1:$I$89,3,0)*0.475*44/12</f>
        <v>8.6690445531132383E-14</v>
      </c>
      <c r="FT129" s="22">
        <f t="shared" si="78"/>
        <v>3.1926622004708016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1.1368683772161603E-13</v>
      </c>
      <c r="GA129" s="17">
        <f>FZ129*VLOOKUP('Données projet'!$B$17,Paramètres!$A$1:$I$89,3,0)*VLOOKUP('Données projet'!$B$17,Paramètres!$A$1:$I$89,5,0)</f>
        <v>6.7984728957526396E-14</v>
      </c>
      <c r="GB129" s="13">
        <f t="shared" si="103"/>
        <v>1.0682447123141398E-12</v>
      </c>
      <c r="GC129" s="20">
        <f t="shared" si="79"/>
        <v>1.978932943548152E-12</v>
      </c>
      <c r="GD129" s="59">
        <f t="shared" si="80"/>
        <v>293.3333333333353</v>
      </c>
      <c r="GE129" s="59">
        <f ca="1">AVERAGE(OFFSET($GD$3,0,0,'Données projet'!$E$17+1,1))-AVERAGE(OFFSET($H$3,0,0,'Données projet'!$E$17+1,1))</f>
        <v>259.30247982593914</v>
      </c>
      <c r="GF129" s="59">
        <f t="shared" si="104"/>
        <v>275.24740346220779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</v>
      </c>
      <c r="GM129" s="21">
        <f>EXP(-LN(2)/25)*GM128+(1-EXP(-LN(2)/25))/(LN(2)/25)*Calculateur!GH129*Calculateur!GJ129*VLOOKUP('Données projet'!$B$17,Paramètres!$A$1:$I$89,3,0)*0.475*44/12</f>
        <v>1.2592533450837462</v>
      </c>
      <c r="GN129" s="21">
        <f>EXP(-LN(2)/2)*GN128+(1-EXP(-LN(2)/2))/(LN(2)/2)*GH129*GK129*VLOOKUP('Données projet'!$B$17,Paramètres!$A$1:$I$89,3,0)*0.475*44/12</f>
        <v>1.0189349872954181E-13</v>
      </c>
      <c r="GO129" s="21">
        <f t="shared" si="81"/>
        <v>1.2592533450838481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5.6843418860808015E-14</v>
      </c>
      <c r="GV129" s="17">
        <f>GU129*VLOOKUP('Données projet'!$B$18,Paramètres!$A$1:$I$89,3,0)*VLOOKUP('Données projet'!$B$18,Paramètres!$A$1:$I$89,5,0)</f>
        <v>4.5224624045658861E-14</v>
      </c>
      <c r="GW129" s="13">
        <f t="shared" si="105"/>
        <v>7.4514601661523691E-13</v>
      </c>
      <c r="GX129" s="20">
        <f t="shared" si="82"/>
        <v>1.3765621991510601E-12</v>
      </c>
      <c r="GY129" s="59">
        <f t="shared" si="83"/>
        <v>293.33333333333468</v>
      </c>
      <c r="GZ129" s="59">
        <f ca="1">AVERAGE(OFFSET($GY$3,0,0,'Données projet'!$E$18+1,1))-AVERAGE(OFFSET($H$3,0,0,'Données projet'!$E$18+1,1))</f>
        <v>199.58763537752952</v>
      </c>
      <c r="HA129" s="59">
        <f t="shared" si="106"/>
        <v>242.62852778451929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0</v>
      </c>
      <c r="HH129" s="21">
        <f>EXP(-LN(2)/25)*HH128+(1-EXP(-LN(2)/25))/(LN(2)/25)*Calculateur!HC129*Calculateur!HE129*VLOOKUP('Données projet'!$B$18,Paramètres!$A$1:$I$89,3,0)*0.475*44/12</f>
        <v>0.71806483439832003</v>
      </c>
      <c r="HI129" s="21">
        <f>EXP(-LN(2)/2)*HI128+(1-EXP(-LN(2)/2))/(LN(2)/2)*HC129*HF129*VLOOKUP('Données projet'!$B$18,Paramètres!$A$1:$I$89,3,0)*0.475*44/12</f>
        <v>3.8232735708803815E-14</v>
      </c>
      <c r="HJ129" s="22">
        <f t="shared" si="84"/>
        <v>0.71806483439835822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-1.0286385077051818E-13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237.22177246688199</v>
      </c>
      <c r="T130" s="59">
        <f t="shared" si="88"/>
        <v>149.27472147904302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0.21095820580595395</v>
      </c>
      <c r="AB130" s="21">
        <f>EXP(-LN(2)/2)*AB129+(1-EXP(-LN(2)/2))/(LN(2)/2)*V130*Y130*VLOOKUP('Données projet'!$B$9,Paramètres!$A$1:$I$89,3,0)*0.475*44/12</f>
        <v>1.5548557424653883E-14</v>
      </c>
      <c r="AC130" s="22">
        <f t="shared" si="57"/>
        <v>0.2109582058059695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-1.1527845344971866E-13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279.20364724206644</v>
      </c>
      <c r="AO130" s="59">
        <f t="shared" si="90"/>
        <v>173.99850582760712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0.23641867892046547</v>
      </c>
      <c r="AW130" s="21">
        <f>EXP(-LN(2)/2)*AW129+(1-EXP(-LN(2)/2))/(LN(2)/2)*AQ130*AT130*VLOOKUP('Données projet'!$B$10,Paramètres!$A$1:$I$89,3,0)*0.475*44/12</f>
        <v>1.7425107458663832E-14</v>
      </c>
      <c r="AX130" s="21">
        <f t="shared" si="60"/>
        <v>0.23641867892048291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-5.3205440053716299E-14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215.23235148064941</v>
      </c>
      <c r="BJ130" s="59">
        <f t="shared" si="92"/>
        <v>184.07239726900434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0.45908853740405442</v>
      </c>
      <c r="BQ130" s="21">
        <f>EXP(-LN(2)/25)*BQ129+(1-EXP(-LN(2)/25))/(LN(2)/25)*Calculateur!BL130*Calculateur!BN130*VLOOKUP('Données projet'!$B$11,Paramètres!$A$1:$I$89,3,0)*0.475*44/12</f>
        <v>0.53355043592594875</v>
      </c>
      <c r="BR130" s="21">
        <f>EXP(-LN(2)/2)*BR129+(1-EXP(-LN(2)/2))/(LN(2)/2)*BL130*BO130*VLOOKUP('Données projet'!$B$11,Paramètres!$A$1:$I$89,3,0)*0.475*44/12</f>
        <v>2.4699881830657152E-14</v>
      </c>
      <c r="BS130" s="22">
        <f t="shared" si="63"/>
        <v>0.99263897333002782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-1.223725121235475E-13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303.1504619632214</v>
      </c>
      <c r="CE130" s="59">
        <f t="shared" si="94"/>
        <v>188.09929616366503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0.25096752070018663</v>
      </c>
      <c r="CM130" s="21">
        <f>EXP(-LN(2)/2)*CM129+(1-EXP(-LN(2)/2))/(LN(2)/2)*CG130*CJ130*VLOOKUP('Données projet'!$B$12,Paramètres!$A$1:$I$89,3,0)*0.475*44/12</f>
        <v>1.8497421763812411E-14</v>
      </c>
      <c r="CN130" s="22">
        <f t="shared" si="66"/>
        <v>0.25096752070020512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5.6843418860808015E-14</v>
      </c>
      <c r="CU130" s="17">
        <f>CT130*VLOOKUP('Données projet'!$B$13,Paramètres!$A$1:$I$89,3,0)*VLOOKUP('Données projet'!$B$13,Paramètres!$A$1:$I$89,5,0)</f>
        <v>3.813056537183002E-14</v>
      </c>
      <c r="CV130" s="13">
        <f t="shared" si="95"/>
        <v>6.4086286045526829E-13</v>
      </c>
      <c r="CW130" s="20">
        <f t="shared" si="67"/>
        <v>1.1825802166488628E-12</v>
      </c>
      <c r="CX130" s="59">
        <f t="shared" si="68"/>
        <v>293.33333333333451</v>
      </c>
      <c r="CY130" s="59">
        <f ca="1">AVERAGE(OFFSET($CX$3,0,0,'Données projet'!$E$13+1,1))-AVERAGE(OFFSET($H$3,0,0,'Données projet'!$E$13+1,1))</f>
        <v>156.63226020379989</v>
      </c>
      <c r="CZ130" s="59">
        <f t="shared" si="96"/>
        <v>196.0481096619543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0.58887177433006521</v>
      </c>
      <c r="DH130" s="21">
        <f>EXP(-LN(2)/2)*DH129+(1-EXP(-LN(2)/2))/(LN(2)/2)*DB130*DE130*VLOOKUP('Données projet'!$B$13,Paramètres!$A$1:$I$89,3,0)*0.475*44/12</f>
        <v>2.2793900928810849E-14</v>
      </c>
      <c r="DI130" s="22">
        <f t="shared" si="69"/>
        <v>0.58887177433008797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-8.5265128291212022E-14</v>
      </c>
      <c r="DP130" s="17">
        <f>DO130*VLOOKUP('Données projet'!$B$14,Paramètres!$A$1:$I$89,3,0)*VLOOKUP('Données projet'!$B$14,Paramètres!$A$1:$I$89,5,0)</f>
        <v>-7.7147888077888636E-14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225.28075317732998</v>
      </c>
      <c r="DU130" s="59">
        <f t="shared" si="98"/>
        <v>358.43407531256207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0.32858490277469332</v>
      </c>
      <c r="EB130" s="21">
        <f>EXP(-LN(2)/25)*EB129+(1-EXP(-LN(2)/25))/(LN(2)/25)*Calculateur!DW130*Calculateur!DY130*VLOOKUP('Données projet'!$B$14,Paramètres!$A$1:$I$89,3,0)*0.475*44/12</f>
        <v>0.56184577368838129</v>
      </c>
      <c r="EC130" s="21">
        <f>EXP(-LN(2)/2)*EC129+(1-EXP(-LN(2)/2))/(LN(2)/2)*DW130*DZ130*VLOOKUP('Données projet'!$B$14,Paramètres!$A$1:$I$89,3,0)*0.475*44/12</f>
        <v>1.1088674024135356E-14</v>
      </c>
      <c r="ED130" s="22">
        <f t="shared" si="72"/>
        <v>0.89043067646308571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-5.6843418860808015E-13</v>
      </c>
      <c r="EK130" s="17">
        <f>EJ130*VLOOKUP('Données projet'!$B$15,Paramètres!$A$1:$I$89,3,0)*VLOOKUP('Données projet'!$B$15,Paramètres!$A$1:$I$89,5,0)</f>
        <v>-3.177547114319168E-13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326.31232746914907</v>
      </c>
      <c r="EP130" s="59">
        <f t="shared" si="100"/>
        <v>330.17137761430297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0.66901791216954931</v>
      </c>
      <c r="EW130" s="21">
        <f>EXP(-LN(2)/25)*EW129+(1-EXP(-LN(2)/25))/(LN(2)/25)*Calculateur!ER130*Calculateur!ET130*VLOOKUP('Données projet'!$B$15,Paramètres!$A$1:$I$89,3,0)*0.475*44/12</f>
        <v>2.0493746742883139</v>
      </c>
      <c r="EX130" s="21">
        <f>EXP(-LN(2)/2)*EX129+(1-EXP(-LN(2)/2))/(LN(2)/2)*ER130*EU130*VLOOKUP('Données projet'!$B$15,Paramètres!$A$1:$I$89,3,0)*0.475*44/12</f>
        <v>8.1700297105708281E-14</v>
      </c>
      <c r="EY130" s="22">
        <f t="shared" si="75"/>
        <v>2.718392586457945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255.41017495879987</v>
      </c>
      <c r="FK130" s="59">
        <f t="shared" si="102"/>
        <v>297.50513563712764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1.222053860707168</v>
      </c>
      <c r="FR130" s="21">
        <f>EXP(-LN(2)/25)*FR129+(1-EXP(-LN(2)/25))/(LN(2)/25)*Calculateur!FM130*Calculateur!FO130*VLOOKUP('Données projet'!$B$16,Paramètres!$A$1:$I$89,3,0)*0.475*44/12</f>
        <v>1.8929473033933448</v>
      </c>
      <c r="FS130" s="21">
        <f>EXP(-LN(2)/2)*FS129+(1-EXP(-LN(2)/2))/(LN(2)/2)*FM130*FP130*VLOOKUP('Données projet'!$B$16,Paramètres!$A$1:$I$89,3,0)*0.475*44/12</f>
        <v>6.1299401899146741E-14</v>
      </c>
      <c r="FT130" s="22">
        <f t="shared" si="78"/>
        <v>3.1150011641005744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1.1368683772161603E-13</v>
      </c>
      <c r="GA130" s="17">
        <f>FZ130*VLOOKUP('Données projet'!$B$17,Paramètres!$A$1:$I$89,3,0)*VLOOKUP('Données projet'!$B$17,Paramètres!$A$1:$I$89,5,0)</f>
        <v>6.7984728957526396E-14</v>
      </c>
      <c r="GB130" s="13">
        <f t="shared" si="103"/>
        <v>1.0682447123141398E-12</v>
      </c>
      <c r="GC130" s="20">
        <f t="shared" si="79"/>
        <v>1.978932943548152E-12</v>
      </c>
      <c r="GD130" s="59">
        <f t="shared" si="80"/>
        <v>293.3333333333353</v>
      </c>
      <c r="GE130" s="59">
        <f ca="1">AVERAGE(OFFSET($GD$3,0,0,'Données projet'!$E$17+1,1))-AVERAGE(OFFSET($H$3,0,0,'Données projet'!$E$17+1,1))</f>
        <v>259.30247982593914</v>
      </c>
      <c r="GF130" s="59">
        <f t="shared" si="104"/>
        <v>275.24740346220779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</v>
      </c>
      <c r="GM130" s="21">
        <f>EXP(-LN(2)/25)*GM129+(1-EXP(-LN(2)/25))/(LN(2)/25)*Calculateur!GH130*Calculateur!GJ130*VLOOKUP('Données projet'!$B$17,Paramètres!$A$1:$I$89,3,0)*0.475*44/12</f>
        <v>1.2248189961411757</v>
      </c>
      <c r="GN130" s="21">
        <f>EXP(-LN(2)/2)*GN129+(1-EXP(-LN(2)/2))/(LN(2)/2)*GH130*GK130*VLOOKUP('Données projet'!$B$17,Paramètres!$A$1:$I$89,3,0)*0.475*44/12</f>
        <v>7.2049583910481875E-14</v>
      </c>
      <c r="GO130" s="21">
        <f t="shared" si="81"/>
        <v>1.2248189961412477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5.6843418860808015E-14</v>
      </c>
      <c r="GV130" s="17">
        <f>GU130*VLOOKUP('Données projet'!$B$18,Paramètres!$A$1:$I$89,3,0)*VLOOKUP('Données projet'!$B$18,Paramètres!$A$1:$I$89,5,0)</f>
        <v>4.5224624045658861E-14</v>
      </c>
      <c r="GW130" s="13">
        <f t="shared" si="105"/>
        <v>7.4514601661523691E-13</v>
      </c>
      <c r="GX130" s="20">
        <f t="shared" si="82"/>
        <v>1.3765621991510601E-12</v>
      </c>
      <c r="GY130" s="59">
        <f t="shared" si="83"/>
        <v>293.33333333333468</v>
      </c>
      <c r="GZ130" s="59">
        <f ca="1">AVERAGE(OFFSET($GY$3,0,0,'Données projet'!$E$18+1,1))-AVERAGE(OFFSET($H$3,0,0,'Données projet'!$E$18+1,1))</f>
        <v>199.58763537752952</v>
      </c>
      <c r="HA130" s="59">
        <f t="shared" si="106"/>
        <v>242.62852778451929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0</v>
      </c>
      <c r="HH130" s="21">
        <f>EXP(-LN(2)/25)*HH129+(1-EXP(-LN(2)/25))/(LN(2)/25)*Calculateur!HC130*Calculateur!HE130*VLOOKUP('Données projet'!$B$18,Paramètres!$A$1:$I$89,3,0)*0.475*44/12</f>
        <v>0.69842931374030948</v>
      </c>
      <c r="HI130" s="21">
        <f>EXP(-LN(2)/2)*HI129+(1-EXP(-LN(2)/2))/(LN(2)/2)*HC130*HF130*VLOOKUP('Données projet'!$B$18,Paramètres!$A$1:$I$89,3,0)*0.475*44/12</f>
        <v>2.7034626683008242E-14</v>
      </c>
      <c r="HJ130" s="22">
        <f t="shared" si="84"/>
        <v>0.69842931374033657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-1.0286385077051818E-13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237.22177246688199</v>
      </c>
      <c r="T131" s="59">
        <f t="shared" si="88"/>
        <v>149.27472147904302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0.20518954257438024</v>
      </c>
      <c r="AB131" s="21">
        <f>EXP(-LN(2)/2)*AB130+(1-EXP(-LN(2)/2))/(LN(2)/2)*V131*Y131*VLOOKUP('Données projet'!$B$9,Paramètres!$A$1:$I$89,3,0)*0.475*44/12</f>
        <v>1.0994490392641203E-14</v>
      </c>
      <c r="AC131" s="22">
        <f t="shared" si="57"/>
        <v>0.20518954257439123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-1.1527845344971866E-13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279.20364724206644</v>
      </c>
      <c r="AO131" s="59">
        <f t="shared" si="90"/>
        <v>173.99850582760712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0.22995379771266736</v>
      </c>
      <c r="AW131" s="21">
        <f>EXP(-LN(2)/2)*AW130+(1-EXP(-LN(2)/2))/(LN(2)/2)*AQ131*AT131*VLOOKUP('Données projet'!$B$10,Paramètres!$A$1:$I$89,3,0)*0.475*44/12</f>
        <v>1.2321411646925484E-14</v>
      </c>
      <c r="AX131" s="21">
        <f t="shared" si="60"/>
        <v>0.22995379771267968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-5.3205440053716299E-14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215.23235148064941</v>
      </c>
      <c r="BJ131" s="59">
        <f t="shared" si="92"/>
        <v>184.07239726900434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0.45008609120191939</v>
      </c>
      <c r="BQ131" s="21">
        <f>EXP(-LN(2)/25)*BQ130+(1-EXP(-LN(2)/25))/(LN(2)/25)*Calculateur!BL131*Calculateur!BN131*VLOOKUP('Données projet'!$B$11,Paramètres!$A$1:$I$89,3,0)*0.475*44/12</f>
        <v>0.51896047119735567</v>
      </c>
      <c r="BR131" s="21">
        <f>EXP(-LN(2)/2)*BR130+(1-EXP(-LN(2)/2))/(LN(2)/2)*BL131*BO131*VLOOKUP('Données projet'!$B$11,Paramètres!$A$1:$I$89,3,0)*0.475*44/12</f>
        <v>1.7465453936964067E-14</v>
      </c>
      <c r="BS131" s="22">
        <f t="shared" si="63"/>
        <v>0.96904656239929243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-1.223725121235475E-13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303.1504619632214</v>
      </c>
      <c r="CE131" s="59">
        <f t="shared" si="94"/>
        <v>188.09929616366503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0.24410480064883172</v>
      </c>
      <c r="CM131" s="21">
        <f>EXP(-LN(2)/2)*CM130+(1-EXP(-LN(2)/2))/(LN(2)/2)*CG131*CJ131*VLOOKUP('Données projet'!$B$12,Paramètres!$A$1:$I$89,3,0)*0.475*44/12</f>
        <v>1.3079652363659384E-14</v>
      </c>
      <c r="CN131" s="22">
        <f t="shared" si="66"/>
        <v>0.24410480064884479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5.6843418860808015E-14</v>
      </c>
      <c r="CU131" s="17">
        <f>CT131*VLOOKUP('Données projet'!$B$13,Paramètres!$A$1:$I$89,3,0)*VLOOKUP('Données projet'!$B$13,Paramètres!$A$1:$I$89,5,0)</f>
        <v>3.813056537183002E-14</v>
      </c>
      <c r="CV131" s="13">
        <f t="shared" si="95"/>
        <v>6.4086286045526829E-13</v>
      </c>
      <c r="CW131" s="20">
        <f t="shared" si="67"/>
        <v>1.1825802166488628E-12</v>
      </c>
      <c r="CX131" s="59">
        <f t="shared" si="68"/>
        <v>293.33333333333451</v>
      </c>
      <c r="CY131" s="59">
        <f ca="1">AVERAGE(OFFSET($CX$3,0,0,'Données projet'!$E$13+1,1))-AVERAGE(OFFSET($H$3,0,0,'Données projet'!$E$13+1,1))</f>
        <v>156.63226020379989</v>
      </c>
      <c r="CZ131" s="59">
        <f t="shared" si="96"/>
        <v>196.0481096619543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0.5727690446935888</v>
      </c>
      <c r="DH131" s="21">
        <f>EXP(-LN(2)/2)*DH130+(1-EXP(-LN(2)/2))/(LN(2)/2)*DB131*DE131*VLOOKUP('Données projet'!$B$13,Paramètres!$A$1:$I$89,3,0)*0.475*44/12</f>
        <v>1.6117721916456495E-14</v>
      </c>
      <c r="DI131" s="22">
        <f t="shared" si="69"/>
        <v>0.5727690446936049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-8.5265128291212022E-14</v>
      </c>
      <c r="DP131" s="17">
        <f>DO131*VLOOKUP('Données projet'!$B$14,Paramètres!$A$1:$I$89,3,0)*VLOOKUP('Données projet'!$B$14,Paramètres!$A$1:$I$89,5,0)</f>
        <v>-7.7147888077888636E-14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225.28075317732998</v>
      </c>
      <c r="DU131" s="59">
        <f t="shared" si="98"/>
        <v>358.43407531256207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0.32214155324828275</v>
      </c>
      <c r="EB131" s="21">
        <f>EXP(-LN(2)/25)*EB130+(1-EXP(-LN(2)/25))/(LN(2)/25)*Calculateur!DW131*Calculateur!DY131*VLOOKUP('Données projet'!$B$14,Paramètres!$A$1:$I$89,3,0)*0.475*44/12</f>
        <v>0.54648207146068739</v>
      </c>
      <c r="EC131" s="21">
        <f>EXP(-LN(2)/2)*EC130+(1-EXP(-LN(2)/2))/(LN(2)/2)*DW131*DZ131*VLOOKUP('Données projet'!$B$14,Paramètres!$A$1:$I$89,3,0)*0.475*44/12</f>
        <v>7.8408765968332326E-15</v>
      </c>
      <c r="ED131" s="22">
        <f t="shared" si="72"/>
        <v>0.86862362470897803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-5.6843418860808015E-13</v>
      </c>
      <c r="EK131" s="17">
        <f>EJ131*VLOOKUP('Données projet'!$B$15,Paramètres!$A$1:$I$89,3,0)*VLOOKUP('Données projet'!$B$15,Paramètres!$A$1:$I$89,5,0)</f>
        <v>-3.177547114319168E-13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326.31232746914907</v>
      </c>
      <c r="EP131" s="59">
        <f t="shared" si="100"/>
        <v>330.17137761430297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0.65589887897253818</v>
      </c>
      <c r="EW131" s="21">
        <f>EXP(-LN(2)/25)*EW130+(1-EXP(-LN(2)/25))/(LN(2)/25)*Calculateur!ER131*Calculateur!ET131*VLOOKUP('Données projet'!$B$15,Paramètres!$A$1:$I$89,3,0)*0.475*44/12</f>
        <v>1.9933344160479698</v>
      </c>
      <c r="EX131" s="21">
        <f>EXP(-LN(2)/2)*EX130+(1-EXP(-LN(2)/2))/(LN(2)/2)*ER131*EU131*VLOOKUP('Données projet'!$B$15,Paramètres!$A$1:$I$89,3,0)*0.475*44/12</f>
        <v>5.7770834108401988E-14</v>
      </c>
      <c r="EY131" s="22">
        <f t="shared" si="75"/>
        <v>2.6492332950205659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255.41017495879987</v>
      </c>
      <c r="FK131" s="59">
        <f t="shared" si="102"/>
        <v>297.50513563712764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1.1980901298779554</v>
      </c>
      <c r="FR131" s="21">
        <f>EXP(-LN(2)/25)*FR130+(1-EXP(-LN(2)/25))/(LN(2)/25)*Calculateur!FM131*Calculateur!FO131*VLOOKUP('Données projet'!$B$16,Paramètres!$A$1:$I$89,3,0)*0.475*44/12</f>
        <v>1.8411845598362815</v>
      </c>
      <c r="FS131" s="21">
        <f>EXP(-LN(2)/2)*FS130+(1-EXP(-LN(2)/2))/(LN(2)/2)*FM131*FP131*VLOOKUP('Données projet'!$B$16,Paramètres!$A$1:$I$89,3,0)*0.475*44/12</f>
        <v>4.3345222765566191E-14</v>
      </c>
      <c r="FT131" s="22">
        <f t="shared" si="78"/>
        <v>3.0392746897142802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1.1368683772161603E-13</v>
      </c>
      <c r="GA131" s="17">
        <f>FZ131*VLOOKUP('Données projet'!$B$17,Paramètres!$A$1:$I$89,3,0)*VLOOKUP('Données projet'!$B$17,Paramètres!$A$1:$I$89,5,0)</f>
        <v>6.7984728957526396E-14</v>
      </c>
      <c r="GB131" s="13">
        <f t="shared" si="103"/>
        <v>1.0682447123141398E-12</v>
      </c>
      <c r="GC131" s="20">
        <f t="shared" si="79"/>
        <v>1.978932943548152E-12</v>
      </c>
      <c r="GD131" s="59">
        <f t="shared" si="80"/>
        <v>293.3333333333353</v>
      </c>
      <c r="GE131" s="59">
        <f ca="1">AVERAGE(OFFSET($GD$3,0,0,'Données projet'!$E$17+1,1))-AVERAGE(OFFSET($H$3,0,0,'Données projet'!$E$17+1,1))</f>
        <v>259.30247982593914</v>
      </c>
      <c r="GF131" s="59">
        <f t="shared" si="104"/>
        <v>275.24740346220779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</v>
      </c>
      <c r="GM131" s="21">
        <f>EXP(-LN(2)/25)*GM130+(1-EXP(-LN(2)/25))/(LN(2)/25)*Calculateur!GH131*Calculateur!GJ131*VLOOKUP('Données projet'!$B$17,Paramètres!$A$1:$I$89,3,0)*0.475*44/12</f>
        <v>1.1913262562812637</v>
      </c>
      <c r="GN131" s="21">
        <f>EXP(-LN(2)/2)*GN130+(1-EXP(-LN(2)/2))/(LN(2)/2)*GH131*GK131*VLOOKUP('Données projet'!$B$17,Paramètres!$A$1:$I$89,3,0)*0.475*44/12</f>
        <v>5.0946749364770903E-14</v>
      </c>
      <c r="GO131" s="21">
        <f t="shared" si="81"/>
        <v>1.1913262562813145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5.6843418860808015E-14</v>
      </c>
      <c r="GV131" s="17">
        <f>GU131*VLOOKUP('Données projet'!$B$18,Paramètres!$A$1:$I$89,3,0)*VLOOKUP('Données projet'!$B$18,Paramètres!$A$1:$I$89,5,0)</f>
        <v>4.5224624045658861E-14</v>
      </c>
      <c r="GW131" s="13">
        <f t="shared" si="105"/>
        <v>7.4514601661523691E-13</v>
      </c>
      <c r="GX131" s="20">
        <f t="shared" si="82"/>
        <v>1.3765621991510601E-12</v>
      </c>
      <c r="GY131" s="59">
        <f t="shared" si="83"/>
        <v>293.33333333333468</v>
      </c>
      <c r="GZ131" s="59">
        <f ca="1">AVERAGE(OFFSET($GY$3,0,0,'Données projet'!$E$18+1,1))-AVERAGE(OFFSET($H$3,0,0,'Données projet'!$E$18+1,1))</f>
        <v>199.58763537752952</v>
      </c>
      <c r="HA131" s="59">
        <f t="shared" si="106"/>
        <v>242.62852778451929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0</v>
      </c>
      <c r="HH131" s="21">
        <f>EXP(-LN(2)/25)*HH130+(1-EXP(-LN(2)/25))/(LN(2)/25)*Calculateur!HC131*Calculateur!HE131*VLOOKUP('Données projet'!$B$18,Paramètres!$A$1:$I$89,3,0)*0.475*44/12</f>
        <v>0.6793307274272794</v>
      </c>
      <c r="HI131" s="21">
        <f>EXP(-LN(2)/2)*HI130+(1-EXP(-LN(2)/2))/(LN(2)/2)*HC131*HF131*VLOOKUP('Données projet'!$B$18,Paramètres!$A$1:$I$89,3,0)*0.475*44/12</f>
        <v>1.9116367854401908E-14</v>
      </c>
      <c r="HJ131" s="22">
        <f t="shared" si="84"/>
        <v>0.6793307274272985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-1.0286385077051818E-13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237.22177246688199</v>
      </c>
      <c r="T132" s="59">
        <f t="shared" si="88"/>
        <v>149.27472147904302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0.19957862374223473</v>
      </c>
      <c r="AB132" s="21">
        <f>EXP(-LN(2)/2)*AB131+(1-EXP(-LN(2)/2))/(LN(2)/2)*V132*Y132*VLOOKUP('Données projet'!$B$9,Paramètres!$A$1:$I$89,3,0)*0.475*44/12</f>
        <v>7.7742787123269417E-15</v>
      </c>
      <c r="AC132" s="22">
        <f t="shared" ref="AC132:AC153" si="111">SUM(Z132:AB132)</f>
        <v>0.1995786237422425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-1.1527845344971866E-13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279.20364724206644</v>
      </c>
      <c r="AO132" s="59">
        <f t="shared" si="90"/>
        <v>173.99850582760712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0.22366569902146982</v>
      </c>
      <c r="AW132" s="21">
        <f>EXP(-LN(2)/2)*AW131+(1-EXP(-LN(2)/2))/(LN(2)/2)*AQ132*AT132*VLOOKUP('Données projet'!$B$10,Paramètres!$A$1:$I$89,3,0)*0.475*44/12</f>
        <v>8.7125537293319161E-15</v>
      </c>
      <c r="AX132" s="21">
        <f t="shared" ref="AX132:AX153" si="114">SUM(AU132:AW132)</f>
        <v>0.22366569902147854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-5.3205440053716299E-14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215.23235148064941</v>
      </c>
      <c r="BJ132" s="59">
        <f t="shared" si="92"/>
        <v>184.07239726900434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0.44126017747885826</v>
      </c>
      <c r="BQ132" s="21">
        <f>EXP(-LN(2)/25)*BQ131+(1-EXP(-LN(2)/25))/(LN(2)/25)*Calculateur!BL132*Calculateur!BN132*VLOOKUP('Données projet'!$B$11,Paramètres!$A$1:$I$89,3,0)*0.475*44/12</f>
        <v>0.50476946982151893</v>
      </c>
      <c r="BR132" s="21">
        <f>EXP(-LN(2)/2)*BR131+(1-EXP(-LN(2)/2))/(LN(2)/2)*BL132*BO132*VLOOKUP('Données projet'!$B$11,Paramètres!$A$1:$I$89,3,0)*0.475*44/12</f>
        <v>1.2349940915328576E-14</v>
      </c>
      <c r="BS132" s="22">
        <f t="shared" ref="BS132:BS153" si="117">SUM(BP132:BR132)</f>
        <v>0.94602964730038952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-1.223725121235475E-13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303.1504619632214</v>
      </c>
      <c r="CE132" s="59">
        <f t="shared" si="94"/>
        <v>188.09929616366503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0.23742974203817585</v>
      </c>
      <c r="CM132" s="21">
        <f>EXP(-LN(2)/2)*CM131+(1-EXP(-LN(2)/2))/(LN(2)/2)*CG132*CJ132*VLOOKUP('Données projet'!$B$12,Paramètres!$A$1:$I$89,3,0)*0.475*44/12</f>
        <v>9.2487108819062053E-15</v>
      </c>
      <c r="CN132" s="22">
        <f t="shared" ref="CN132:CN153" si="120">SUM(CK132:CM132)</f>
        <v>0.23742974203818509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5.6843418860808015E-14</v>
      </c>
      <c r="CU132" s="17">
        <f>CT132*VLOOKUP('Données projet'!$B$13,Paramètres!$A$1:$I$89,3,0)*VLOOKUP('Données projet'!$B$13,Paramètres!$A$1:$I$89,5,0)</f>
        <v>3.813056537183002E-14</v>
      </c>
      <c r="CV132" s="13">
        <f t="shared" si="95"/>
        <v>6.4086286045526829E-13</v>
      </c>
      <c r="CW132" s="20">
        <f t="shared" ref="CW132:CW153" si="121">(CU132+CV132)*0.475*44/12</f>
        <v>1.1825802166488628E-12</v>
      </c>
      <c r="CX132" s="59">
        <f t="shared" ref="CX132:CX195" si="122">CW132+(CO132+CP132)*44/12</f>
        <v>293.33333333333451</v>
      </c>
      <c r="CY132" s="59">
        <f ca="1">AVERAGE(OFFSET($CX$3,0,0,'Données projet'!$E$13+1,1))-AVERAGE(OFFSET($H$3,0,0,'Données projet'!$E$13+1,1))</f>
        <v>156.63226020379989</v>
      </c>
      <c r="CZ132" s="59">
        <f t="shared" si="96"/>
        <v>196.0481096619543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0.55710664504582763</v>
      </c>
      <c r="DH132" s="21">
        <f>EXP(-LN(2)/2)*DH131+(1-EXP(-LN(2)/2))/(LN(2)/2)*DB132*DE132*VLOOKUP('Données projet'!$B$13,Paramètres!$A$1:$I$89,3,0)*0.475*44/12</f>
        <v>1.1396950464405424E-14</v>
      </c>
      <c r="DI132" s="22">
        <f t="shared" ref="DI132:DI153" si="123">SUM(DF132:DH132)</f>
        <v>0.55710664504583907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-8.5265128291212022E-14</v>
      </c>
      <c r="DP132" s="17">
        <f>DO132*VLOOKUP('Données projet'!$B$14,Paramètres!$A$1:$I$89,3,0)*VLOOKUP('Données projet'!$B$14,Paramètres!$A$1:$I$89,5,0)</f>
        <v>-7.7147888077888636E-14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225.28075317732998</v>
      </c>
      <c r="DU132" s="59">
        <f t="shared" si="98"/>
        <v>358.43407531256207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0.31582455387602992</v>
      </c>
      <c r="EB132" s="21">
        <f>EXP(-LN(2)/25)*EB131+(1-EXP(-LN(2)/25))/(LN(2)/25)*Calculateur!DW132*Calculateur!DY132*VLOOKUP('Données projet'!$B$14,Paramètres!$A$1:$I$89,3,0)*0.475*44/12</f>
        <v>0.53153849047835178</v>
      </c>
      <c r="EC132" s="21">
        <f>EXP(-LN(2)/2)*EC131+(1-EXP(-LN(2)/2))/(LN(2)/2)*DW132*DZ132*VLOOKUP('Données projet'!$B$14,Paramètres!$A$1:$I$89,3,0)*0.475*44/12</f>
        <v>5.544337012067678E-15</v>
      </c>
      <c r="ED132" s="22">
        <f t="shared" ref="ED132:ED153" si="126">SUM(EA132:EC132)</f>
        <v>0.84736304435438725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-5.6843418860808015E-13</v>
      </c>
      <c r="EK132" s="17">
        <f>EJ132*VLOOKUP('Données projet'!$B$15,Paramètres!$A$1:$I$89,3,0)*VLOOKUP('Données projet'!$B$15,Paramètres!$A$1:$I$89,5,0)</f>
        <v>-3.177547114319168E-13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326.31232746914907</v>
      </c>
      <c r="EP132" s="59">
        <f t="shared" si="100"/>
        <v>330.17137761430297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0.64303710201470032</v>
      </c>
      <c r="EW132" s="21">
        <f>EXP(-LN(2)/25)*EW131+(1-EXP(-LN(2)/25))/(LN(2)/25)*Calculateur!ER132*Calculateur!ET132*VLOOKUP('Données projet'!$B$15,Paramètres!$A$1:$I$89,3,0)*0.475*44/12</f>
        <v>1.9388265816162369</v>
      </c>
      <c r="EX132" s="21">
        <f>EXP(-LN(2)/2)*EX131+(1-EXP(-LN(2)/2))/(LN(2)/2)*ER132*EU132*VLOOKUP('Données projet'!$B$15,Paramètres!$A$1:$I$89,3,0)*0.475*44/12</f>
        <v>4.0850148552854141E-14</v>
      </c>
      <c r="EY132" s="22">
        <f t="shared" ref="EY132:EY153" si="129">SUM(EV132:EX132)</f>
        <v>2.5818636836309778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255.41017495879987</v>
      </c>
      <c r="FK132" s="59">
        <f t="shared" si="102"/>
        <v>297.50513563712764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1.174596313193871</v>
      </c>
      <c r="FR132" s="21">
        <f>EXP(-LN(2)/25)*FR131+(1-EXP(-LN(2)/25))/(LN(2)/25)*Calculateur!FM132*Calculateur!FO132*VLOOKUP('Données projet'!$B$16,Paramètres!$A$1:$I$89,3,0)*0.475*44/12</f>
        <v>1.7908372712238705</v>
      </c>
      <c r="FS132" s="21">
        <f>EXP(-LN(2)/2)*FS131+(1-EXP(-LN(2)/2))/(LN(2)/2)*FM132*FP132*VLOOKUP('Données projet'!$B$16,Paramètres!$A$1:$I$89,3,0)*0.475*44/12</f>
        <v>3.0649700949573371E-14</v>
      </c>
      <c r="FT132" s="22">
        <f t="shared" ref="FT132:FT153" si="132">SUM(FQ132:FS132)</f>
        <v>2.9654335844177724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1.1368683772161603E-13</v>
      </c>
      <c r="GA132" s="17">
        <f>FZ132*VLOOKUP('Données projet'!$B$17,Paramètres!$A$1:$I$89,3,0)*VLOOKUP('Données projet'!$B$17,Paramètres!$A$1:$I$89,5,0)</f>
        <v>6.7984728957526396E-14</v>
      </c>
      <c r="GB132" s="13">
        <f t="shared" si="103"/>
        <v>1.0682447123141398E-12</v>
      </c>
      <c r="GC132" s="20">
        <f t="shared" ref="GC132:GC153" si="133">(GA132+GB132)*0.475*44/12</f>
        <v>1.978932943548152E-12</v>
      </c>
      <c r="GD132" s="59">
        <f t="shared" ref="GD132:GD195" si="134">GC132+(FU132+FV132)*44/12</f>
        <v>293.3333333333353</v>
      </c>
      <c r="GE132" s="59">
        <f ca="1">AVERAGE(OFFSET($GD$3,0,0,'Données projet'!$E$17+1,1))-AVERAGE(OFFSET($H$3,0,0,'Données projet'!$E$17+1,1))</f>
        <v>259.30247982593914</v>
      </c>
      <c r="GF132" s="59">
        <f t="shared" si="104"/>
        <v>275.24740346220779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</v>
      </c>
      <c r="GM132" s="21">
        <f>EXP(-LN(2)/25)*GM131+(1-EXP(-LN(2)/25))/(LN(2)/25)*Calculateur!GH132*Calculateur!GJ132*VLOOKUP('Données projet'!$B$17,Paramètres!$A$1:$I$89,3,0)*0.475*44/12</f>
        <v>1.1587493771541275</v>
      </c>
      <c r="GN132" s="21">
        <f>EXP(-LN(2)/2)*GN131+(1-EXP(-LN(2)/2))/(LN(2)/2)*GH132*GK132*VLOOKUP('Données projet'!$B$17,Paramètres!$A$1:$I$89,3,0)*0.475*44/12</f>
        <v>3.6024791955240937E-14</v>
      </c>
      <c r="GO132" s="21">
        <f t="shared" ref="GO132:GO153" si="135">SUM(GL132:GN132)</f>
        <v>1.1587493771541635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5.6843418860808015E-14</v>
      </c>
      <c r="GV132" s="17">
        <f>GU132*VLOOKUP('Données projet'!$B$18,Paramètres!$A$1:$I$89,3,0)*VLOOKUP('Données projet'!$B$18,Paramètres!$A$1:$I$89,5,0)</f>
        <v>4.5224624045658861E-14</v>
      </c>
      <c r="GW132" s="13">
        <f t="shared" si="105"/>
        <v>7.4514601661523691E-13</v>
      </c>
      <c r="GX132" s="20">
        <f t="shared" ref="GX132:GX153" si="136">(GV132+GW132)*0.475*44/12</f>
        <v>1.3765621991510601E-12</v>
      </c>
      <c r="GY132" s="59">
        <f t="shared" ref="GY132:GY195" si="137">GX132+(GP132+GQ132)*44/12</f>
        <v>293.33333333333468</v>
      </c>
      <c r="GZ132" s="59">
        <f ca="1">AVERAGE(OFFSET($GY$3,0,0,'Données projet'!$E$18+1,1))-AVERAGE(OFFSET($H$3,0,0,'Données projet'!$E$18+1,1))</f>
        <v>199.58763537752952</v>
      </c>
      <c r="HA132" s="59">
        <f t="shared" si="106"/>
        <v>242.62852778451929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0</v>
      </c>
      <c r="HH132" s="21">
        <f>EXP(-LN(2)/25)*HH131+(1-EXP(-LN(2)/25))/(LN(2)/25)*Calculateur!HC132*Calculateur!HE132*VLOOKUP('Données projet'!$B$18,Paramètres!$A$1:$I$89,3,0)*0.475*44/12</f>
        <v>0.66075439296133009</v>
      </c>
      <c r="HI132" s="21">
        <f>EXP(-LN(2)/2)*HI131+(1-EXP(-LN(2)/2))/(LN(2)/2)*HC132*HF132*VLOOKUP('Données projet'!$B$18,Paramètres!$A$1:$I$89,3,0)*0.475*44/12</f>
        <v>1.3517313341504121E-14</v>
      </c>
      <c r="HJ132" s="22">
        <f t="shared" ref="HJ132:HJ153" si="138">SUM(HG132:HI132)</f>
        <v>0.66075439296134364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-1.0286385077051818E-13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237.22177246688199</v>
      </c>
      <c r="T133" s="59">
        <f t="shared" ref="T133:T196" si="142">$T$3</f>
        <v>149.27472147904302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0.19412113578061965</v>
      </c>
      <c r="AB133" s="21">
        <f>EXP(-LN(2)/2)*AB132+(1-EXP(-LN(2)/2))/(LN(2)/2)*V133*Y133*VLOOKUP('Données projet'!$B$9,Paramètres!$A$1:$I$89,3,0)*0.475*44/12</f>
        <v>5.4972451963206013E-15</v>
      </c>
      <c r="AC133" s="22">
        <f t="shared" si="111"/>
        <v>0.19412113578062515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-1.1527845344971866E-13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279.20364724206644</v>
      </c>
      <c r="AO133" s="59">
        <f t="shared" ref="AO133:AO196" si="144">$AO$3</f>
        <v>173.99850582760712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0.21754954871965981</v>
      </c>
      <c r="AW133" s="21">
        <f>EXP(-LN(2)/2)*AW132+(1-EXP(-LN(2)/2))/(LN(2)/2)*AQ133*AT133*VLOOKUP('Données projet'!$B$10,Paramètres!$A$1:$I$89,3,0)*0.475*44/12</f>
        <v>6.1607058234627419E-15</v>
      </c>
      <c r="AX133" s="21">
        <f t="shared" si="114"/>
        <v>0.21754954871966597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-5.3205440053716299E-14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215.23235148064941</v>
      </c>
      <c r="BJ133" s="59">
        <f t="shared" ref="BJ133:BJ196" si="146">$BJ$3</f>
        <v>184.07239726900434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0.43260733454063055</v>
      </c>
      <c r="BQ133" s="21">
        <f>EXP(-LN(2)/25)*BQ132+(1-EXP(-LN(2)/25))/(LN(2)/25)*Calculateur!BL133*Calculateur!BN133*VLOOKUP('Données projet'!$B$11,Paramètres!$A$1:$I$89,3,0)*0.475*44/12</f>
        <v>0.49096652212457675</v>
      </c>
      <c r="BR133" s="21">
        <f>EXP(-LN(2)/2)*BR132+(1-EXP(-LN(2)/2))/(LN(2)/2)*BL133*BO133*VLOOKUP('Données projet'!$B$11,Paramètres!$A$1:$I$89,3,0)*0.475*44/12</f>
        <v>8.7327269684820336E-15</v>
      </c>
      <c r="BS133" s="22">
        <f t="shared" si="117"/>
        <v>0.92357385666521608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-1.223725121235475E-13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303.1504619632214</v>
      </c>
      <c r="CE133" s="59">
        <f t="shared" ref="CE133:CE196" si="148">$CE$3</f>
        <v>188.09929616366503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0.23093721325625446</v>
      </c>
      <c r="CM133" s="21">
        <f>EXP(-LN(2)/2)*CM132+(1-EXP(-LN(2)/2))/(LN(2)/2)*CG133*CJ133*VLOOKUP('Données projet'!$B$12,Paramètres!$A$1:$I$89,3,0)*0.475*44/12</f>
        <v>6.5398261818296922E-15</v>
      </c>
      <c r="CN133" s="22">
        <f t="shared" si="120"/>
        <v>0.23093721325626101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5.6843418860808015E-14</v>
      </c>
      <c r="CU133" s="17">
        <f>CT133*VLOOKUP('Données projet'!$B$13,Paramètres!$A$1:$I$89,3,0)*VLOOKUP('Données projet'!$B$13,Paramètres!$A$1:$I$89,5,0)</f>
        <v>3.813056537183002E-14</v>
      </c>
      <c r="CV133" s="13">
        <f t="shared" ref="CV133:CV153" si="149">EXP(-1.0587+0.8836*LN(CU133)+0.284)</f>
        <v>6.4086286045526829E-13</v>
      </c>
      <c r="CW133" s="20">
        <f t="shared" si="121"/>
        <v>1.1825802166488628E-12</v>
      </c>
      <c r="CX133" s="59">
        <f t="shared" si="122"/>
        <v>293.33333333333451</v>
      </c>
      <c r="CY133" s="59">
        <f ca="1">AVERAGE(OFFSET($CX$3,0,0,'Données projet'!$E$13+1,1))-AVERAGE(OFFSET($H$3,0,0,'Données projet'!$E$13+1,1))</f>
        <v>156.63226020379989</v>
      </c>
      <c r="CZ133" s="59">
        <f t="shared" ref="CZ133:CZ196" si="150">$CZ$3</f>
        <v>196.0481096619543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0.54187253454008433</v>
      </c>
      <c r="DH133" s="21">
        <f>EXP(-LN(2)/2)*DH132+(1-EXP(-LN(2)/2))/(LN(2)/2)*DB133*DE133*VLOOKUP('Données projet'!$B$13,Paramètres!$A$1:$I$89,3,0)*0.475*44/12</f>
        <v>8.0588609582282476E-15</v>
      </c>
      <c r="DI133" s="22">
        <f t="shared" si="123"/>
        <v>0.54187253454009243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-8.5265128291212022E-14</v>
      </c>
      <c r="DP133" s="17">
        <f>DO133*VLOOKUP('Données projet'!$B$14,Paramètres!$A$1:$I$89,3,0)*VLOOKUP('Données projet'!$B$14,Paramètres!$A$1:$I$89,5,0)</f>
        <v>-7.7147888077888636E-14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225.28075317732998</v>
      </c>
      <c r="DU133" s="59">
        <f t="shared" ref="DU133:DU196" si="152">$DU$3</f>
        <v>358.43407531256207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0.30963142700847784</v>
      </c>
      <c r="EB133" s="21">
        <f>EXP(-LN(2)/25)*EB132+(1-EXP(-LN(2)/25))/(LN(2)/25)*Calculateur!DW133*Calculateur!DY133*VLOOKUP('Données projet'!$B$14,Paramètres!$A$1:$I$89,3,0)*0.475*44/12</f>
        <v>0.51700354250382685</v>
      </c>
      <c r="EC133" s="21">
        <f>EXP(-LN(2)/2)*EC132+(1-EXP(-LN(2)/2))/(LN(2)/2)*DW133*DZ133*VLOOKUP('Données projet'!$B$14,Paramètres!$A$1:$I$89,3,0)*0.475*44/12</f>
        <v>3.9204382984166163E-15</v>
      </c>
      <c r="ED133" s="22">
        <f t="shared" si="126"/>
        <v>0.82663496951230864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-5.6843418860808015E-13</v>
      </c>
      <c r="EK133" s="17">
        <f>EJ133*VLOOKUP('Données projet'!$B$15,Paramètres!$A$1:$I$89,3,0)*VLOOKUP('Données projet'!$B$15,Paramètres!$A$1:$I$89,5,0)</f>
        <v>-3.177547114319168E-13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326.31232746914907</v>
      </c>
      <c r="EP133" s="59">
        <f t="shared" ref="EP133:EP196" si="154">$EP$3</f>
        <v>330.17137761430297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0.63042753665809637</v>
      </c>
      <c r="EW133" s="21">
        <f>EXP(-LN(2)/25)*EW132+(1-EXP(-LN(2)/25))/(LN(2)/25)*Calculateur!ER133*Calculateur!ET133*VLOOKUP('Données projet'!$B$15,Paramètres!$A$1:$I$89,3,0)*0.475*44/12</f>
        <v>1.8858092667834823</v>
      </c>
      <c r="EX133" s="21">
        <f>EXP(-LN(2)/2)*EX132+(1-EXP(-LN(2)/2))/(LN(2)/2)*ER133*EU133*VLOOKUP('Données projet'!$B$15,Paramètres!$A$1:$I$89,3,0)*0.475*44/12</f>
        <v>2.8885417054200994E-14</v>
      </c>
      <c r="EY133" s="22">
        <f t="shared" si="129"/>
        <v>2.5162368034416076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255.41017495879987</v>
      </c>
      <c r="FK133" s="59">
        <f t="shared" ref="FK133:FK196" si="156">$FK$3</f>
        <v>297.50513563712764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1.1515631959251484</v>
      </c>
      <c r="FR133" s="21">
        <f>EXP(-LN(2)/25)*FR132+(1-EXP(-LN(2)/25))/(LN(2)/25)*Calculateur!FM133*Calculateur!FO133*VLOOKUP('Données projet'!$B$16,Paramètres!$A$1:$I$89,3,0)*0.475*44/12</f>
        <v>1.7418667318662147</v>
      </c>
      <c r="FS133" s="21">
        <f>EXP(-LN(2)/2)*FS132+(1-EXP(-LN(2)/2))/(LN(2)/2)*FM133*FP133*VLOOKUP('Données projet'!$B$16,Paramètres!$A$1:$I$89,3,0)*0.475*44/12</f>
        <v>2.1672611382783096E-14</v>
      </c>
      <c r="FT133" s="22">
        <f t="shared" si="132"/>
        <v>2.8934299277913849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1.1368683772161603E-13</v>
      </c>
      <c r="GA133" s="17">
        <f>FZ133*VLOOKUP('Données projet'!$B$17,Paramètres!$A$1:$I$89,3,0)*VLOOKUP('Données projet'!$B$17,Paramètres!$A$1:$I$89,5,0)</f>
        <v>6.7984728957526396E-14</v>
      </c>
      <c r="GB133" s="13">
        <f t="shared" ref="GB133:GB153" si="157">EXP(-1.0587+0.8836*LN(GA133)+0.284)</f>
        <v>1.0682447123141398E-12</v>
      </c>
      <c r="GC133" s="20">
        <f t="shared" si="133"/>
        <v>1.978932943548152E-12</v>
      </c>
      <c r="GD133" s="59">
        <f t="shared" si="134"/>
        <v>293.3333333333353</v>
      </c>
      <c r="GE133" s="59">
        <f ca="1">AVERAGE(OFFSET($GD$3,0,0,'Données projet'!$E$17+1,1))-AVERAGE(OFFSET($H$3,0,0,'Données projet'!$E$17+1,1))</f>
        <v>259.30247982593914</v>
      </c>
      <c r="GF133" s="59">
        <f t="shared" ref="GF133:GF196" si="158">$GF$3</f>
        <v>275.24740346220779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</v>
      </c>
      <c r="GM133" s="21">
        <f>EXP(-LN(2)/25)*GM132+(1-EXP(-LN(2)/25))/(LN(2)/25)*Calculateur!GH133*Calculateur!GJ133*VLOOKUP('Données projet'!$B$17,Paramètres!$A$1:$I$89,3,0)*0.475*44/12</f>
        <v>1.1270633144998665</v>
      </c>
      <c r="GN133" s="21">
        <f>EXP(-LN(2)/2)*GN132+(1-EXP(-LN(2)/2))/(LN(2)/2)*GH133*GK133*VLOOKUP('Données projet'!$B$17,Paramètres!$A$1:$I$89,3,0)*0.475*44/12</f>
        <v>2.5473374682385451E-14</v>
      </c>
      <c r="GO133" s="21">
        <f t="shared" si="135"/>
        <v>1.1270633144998921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5.6843418860808015E-14</v>
      </c>
      <c r="GV133" s="17">
        <f>GU133*VLOOKUP('Données projet'!$B$18,Paramètres!$A$1:$I$89,3,0)*VLOOKUP('Données projet'!$B$18,Paramètres!$A$1:$I$89,5,0)</f>
        <v>4.5224624045658861E-14</v>
      </c>
      <c r="GW133" s="13">
        <f t="shared" ref="GW133:GW153" si="159">EXP(-1.0587+0.8836*LN(GV133)+0.284)</f>
        <v>7.4514601661523691E-13</v>
      </c>
      <c r="GX133" s="20">
        <f t="shared" si="136"/>
        <v>1.3765621991510601E-12</v>
      </c>
      <c r="GY133" s="59">
        <f t="shared" si="137"/>
        <v>293.33333333333468</v>
      </c>
      <c r="GZ133" s="59">
        <f ca="1">AVERAGE(OFFSET($GY$3,0,0,'Données projet'!$E$18+1,1))-AVERAGE(OFFSET($H$3,0,0,'Données projet'!$E$18+1,1))</f>
        <v>199.58763537752952</v>
      </c>
      <c r="HA133" s="59">
        <f t="shared" ref="HA133:HA196" si="160">$HA$3</f>
        <v>242.62852778451929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0</v>
      </c>
      <c r="HH133" s="21">
        <f>EXP(-LN(2)/25)*HH132+(1-EXP(-LN(2)/25))/(LN(2)/25)*Calculateur!HC133*Calculateur!HE133*VLOOKUP('Données projet'!$B$18,Paramètres!$A$1:$I$89,3,0)*0.475*44/12</f>
        <v>0.64268602933823915</v>
      </c>
      <c r="HI133" s="21">
        <f>EXP(-LN(2)/2)*HI132+(1-EXP(-LN(2)/2))/(LN(2)/2)*HC133*HF133*VLOOKUP('Données projet'!$B$18,Paramètres!$A$1:$I$89,3,0)*0.475*44/12</f>
        <v>9.5581839272009538E-15</v>
      </c>
      <c r="HJ133" s="22">
        <f t="shared" si="138"/>
        <v>0.6426860293382487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-1.0286385077051818E-13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237.22177246688199</v>
      </c>
      <c r="T134" s="59">
        <f t="shared" si="142"/>
        <v>149.27472147904302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0.18881288311431174</v>
      </c>
      <c r="AB134" s="21">
        <f>EXP(-LN(2)/2)*AB133+(1-EXP(-LN(2)/2))/(LN(2)/2)*V134*Y134*VLOOKUP('Données projet'!$B$9,Paramètres!$A$1:$I$89,3,0)*0.475*44/12</f>
        <v>3.8871393561634708E-15</v>
      </c>
      <c r="AC134" s="22">
        <f t="shared" si="111"/>
        <v>0.18881288311431563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-1.1527845344971866E-13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279.20364724206644</v>
      </c>
      <c r="AO134" s="59">
        <f t="shared" si="144"/>
        <v>173.99850582760712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0.21160064486948715</v>
      </c>
      <c r="AW134" s="21">
        <f>EXP(-LN(2)/2)*AW133+(1-EXP(-LN(2)/2))/(LN(2)/2)*AQ134*AT134*VLOOKUP('Données projet'!$B$10,Paramètres!$A$1:$I$89,3,0)*0.475*44/12</f>
        <v>4.3562768646659581E-15</v>
      </c>
      <c r="AX134" s="21">
        <f t="shared" si="114"/>
        <v>0.21160064486949151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-5.3205440053716299E-14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215.23235148064941</v>
      </c>
      <c r="BJ134" s="59">
        <f t="shared" si="146"/>
        <v>184.07239726900434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0.42412416857470842</v>
      </c>
      <c r="BQ134" s="21">
        <f>EXP(-LN(2)/25)*BQ133+(1-EXP(-LN(2)/25))/(LN(2)/25)*Calculateur!BL134*Calculateur!BN134*VLOOKUP('Données projet'!$B$11,Paramètres!$A$1:$I$89,3,0)*0.475*44/12</f>
        <v>0.47754101675827293</v>
      </c>
      <c r="BR134" s="21">
        <f>EXP(-LN(2)/2)*BR133+(1-EXP(-LN(2)/2))/(LN(2)/2)*BL134*BO134*VLOOKUP('Données projet'!$B$11,Paramètres!$A$1:$I$89,3,0)*0.475*44/12</f>
        <v>6.1749704576642879E-15</v>
      </c>
      <c r="BS134" s="22">
        <f t="shared" si="117"/>
        <v>0.90166518533298756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-1.223725121235475E-13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303.1504619632214</v>
      </c>
      <c r="CE134" s="59">
        <f t="shared" si="148"/>
        <v>188.09929616366503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0.22462222301530196</v>
      </c>
      <c r="CM134" s="21">
        <f>EXP(-LN(2)/2)*CM133+(1-EXP(-LN(2)/2))/(LN(2)/2)*CG134*CJ134*VLOOKUP('Données projet'!$B$12,Paramètres!$A$1:$I$89,3,0)*0.475*44/12</f>
        <v>4.6243554409531026E-15</v>
      </c>
      <c r="CN134" s="22">
        <f t="shared" si="120"/>
        <v>0.2246222230153066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5.6843418860808015E-14</v>
      </c>
      <c r="CU134" s="17">
        <f>CT134*VLOOKUP('Données projet'!$B$13,Paramètres!$A$1:$I$89,3,0)*VLOOKUP('Données projet'!$B$13,Paramètres!$A$1:$I$89,5,0)</f>
        <v>3.813056537183002E-14</v>
      </c>
      <c r="CV134" s="13">
        <f t="shared" si="149"/>
        <v>6.4086286045526829E-13</v>
      </c>
      <c r="CW134" s="20">
        <f t="shared" si="121"/>
        <v>1.1825802166488628E-12</v>
      </c>
      <c r="CX134" s="59">
        <f t="shared" si="122"/>
        <v>293.33333333333451</v>
      </c>
      <c r="CY134" s="59">
        <f ca="1">AVERAGE(OFFSET($CX$3,0,0,'Données projet'!$E$13+1,1))-AVERAGE(OFFSET($H$3,0,0,'Données projet'!$E$13+1,1))</f>
        <v>156.63226020379989</v>
      </c>
      <c r="CZ134" s="59">
        <f t="shared" si="150"/>
        <v>196.0481096619543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0.52705500158724761</v>
      </c>
      <c r="DH134" s="21">
        <f>EXP(-LN(2)/2)*DH133+(1-EXP(-LN(2)/2))/(LN(2)/2)*DB134*DE134*VLOOKUP('Données projet'!$B$13,Paramètres!$A$1:$I$89,3,0)*0.475*44/12</f>
        <v>5.6984752322027122E-15</v>
      </c>
      <c r="DI134" s="22">
        <f t="shared" si="123"/>
        <v>0.52705500158725327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-8.5265128291212022E-14</v>
      </c>
      <c r="DP134" s="17">
        <f>DO134*VLOOKUP('Données projet'!$B$14,Paramètres!$A$1:$I$89,3,0)*VLOOKUP('Données projet'!$B$14,Paramètres!$A$1:$I$89,5,0)</f>
        <v>-7.7147888077888636E-14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225.28075317732998</v>
      </c>
      <c r="DU134" s="59">
        <f t="shared" si="152"/>
        <v>358.43407531256207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0.30355974358136406</v>
      </c>
      <c r="EB134" s="21">
        <f>EXP(-LN(2)/25)*EB133+(1-EXP(-LN(2)/25))/(LN(2)/25)*Calculateur!DW134*Calculateur!DY134*VLOOKUP('Données projet'!$B$14,Paramètres!$A$1:$I$89,3,0)*0.475*44/12</f>
        <v>0.50286605344602509</v>
      </c>
      <c r="EC134" s="21">
        <f>EXP(-LN(2)/2)*EC133+(1-EXP(-LN(2)/2))/(LN(2)/2)*DW134*DZ134*VLOOKUP('Données projet'!$B$14,Paramètres!$A$1:$I$89,3,0)*0.475*44/12</f>
        <v>2.772168506033839E-15</v>
      </c>
      <c r="ED134" s="22">
        <f t="shared" si="126"/>
        <v>0.80642579702739192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-5.6843418860808015E-13</v>
      </c>
      <c r="EK134" s="17">
        <f>EJ134*VLOOKUP('Données projet'!$B$15,Paramètres!$A$1:$I$89,3,0)*VLOOKUP('Données projet'!$B$15,Paramètres!$A$1:$I$89,5,0)</f>
        <v>-3.177547114319168E-13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326.31232746914907</v>
      </c>
      <c r="EP134" s="59">
        <f t="shared" si="154"/>
        <v>330.17137761430297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0.61806523718705997</v>
      </c>
      <c r="EW134" s="21">
        <f>EXP(-LN(2)/25)*EW133+(1-EXP(-LN(2)/25))/(LN(2)/25)*Calculateur!ER134*Calculateur!ET134*VLOOKUP('Données projet'!$B$15,Paramètres!$A$1:$I$89,3,0)*0.475*44/12</f>
        <v>1.8342417132128888</v>
      </c>
      <c r="EX134" s="21">
        <f>EXP(-LN(2)/2)*EX133+(1-EXP(-LN(2)/2))/(LN(2)/2)*ER134*EU134*VLOOKUP('Données projet'!$B$15,Paramètres!$A$1:$I$89,3,0)*0.475*44/12</f>
        <v>2.042507427642707E-14</v>
      </c>
      <c r="EY134" s="22">
        <f t="shared" si="129"/>
        <v>2.452306950399969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255.41017495879987</v>
      </c>
      <c r="FK134" s="59">
        <f t="shared" si="156"/>
        <v>297.50513563712764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1.1289817440372512</v>
      </c>
      <c r="FR134" s="21">
        <f>EXP(-LN(2)/25)*FR133+(1-EXP(-LN(2)/25))/(LN(2)/25)*Calculateur!FM134*Calculateur!FO134*VLOOKUP('Données projet'!$B$16,Paramètres!$A$1:$I$89,3,0)*0.475*44/12</f>
        <v>1.6942352944825427</v>
      </c>
      <c r="FS134" s="21">
        <f>EXP(-LN(2)/2)*FS133+(1-EXP(-LN(2)/2))/(LN(2)/2)*FM134*FP134*VLOOKUP('Données projet'!$B$16,Paramètres!$A$1:$I$89,3,0)*0.475*44/12</f>
        <v>1.5324850474786685E-14</v>
      </c>
      <c r="FT134" s="22">
        <f t="shared" si="132"/>
        <v>2.8232170385198097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1.1368683772161603E-13</v>
      </c>
      <c r="GA134" s="17">
        <f>FZ134*VLOOKUP('Données projet'!$B$17,Paramètres!$A$1:$I$89,3,0)*VLOOKUP('Données projet'!$B$17,Paramètres!$A$1:$I$89,5,0)</f>
        <v>6.7984728957526396E-14</v>
      </c>
      <c r="GB134" s="13">
        <f t="shared" si="157"/>
        <v>1.0682447123141398E-12</v>
      </c>
      <c r="GC134" s="20">
        <f t="shared" si="133"/>
        <v>1.978932943548152E-12</v>
      </c>
      <c r="GD134" s="59">
        <f t="shared" si="134"/>
        <v>293.3333333333353</v>
      </c>
      <c r="GE134" s="59">
        <f ca="1">AVERAGE(OFFSET($GD$3,0,0,'Données projet'!$E$17+1,1))-AVERAGE(OFFSET($H$3,0,0,'Données projet'!$E$17+1,1))</f>
        <v>259.30247982593914</v>
      </c>
      <c r="GF134" s="59">
        <f t="shared" si="158"/>
        <v>275.24740346220779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</v>
      </c>
      <c r="GM134" s="21">
        <f>EXP(-LN(2)/25)*GM133+(1-EXP(-LN(2)/25))/(LN(2)/25)*Calculateur!GH134*Calculateur!GJ134*VLOOKUP('Données projet'!$B$17,Paramètres!$A$1:$I$89,3,0)*0.475*44/12</f>
        <v>1.096243708895184</v>
      </c>
      <c r="GN134" s="21">
        <f>EXP(-LN(2)/2)*GN133+(1-EXP(-LN(2)/2))/(LN(2)/2)*GH134*GK134*VLOOKUP('Données projet'!$B$17,Paramètres!$A$1:$I$89,3,0)*0.475*44/12</f>
        <v>1.8012395977620469E-14</v>
      </c>
      <c r="GO134" s="21">
        <f t="shared" si="135"/>
        <v>1.096243708895202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5.6843418860808015E-14</v>
      </c>
      <c r="GV134" s="17">
        <f>GU134*VLOOKUP('Données projet'!$B$18,Paramètres!$A$1:$I$89,3,0)*VLOOKUP('Données projet'!$B$18,Paramètres!$A$1:$I$89,5,0)</f>
        <v>4.5224624045658861E-14</v>
      </c>
      <c r="GW134" s="13">
        <f t="shared" si="159"/>
        <v>7.4514601661523691E-13</v>
      </c>
      <c r="GX134" s="20">
        <f t="shared" si="136"/>
        <v>1.3765621991510601E-12</v>
      </c>
      <c r="GY134" s="59">
        <f t="shared" si="137"/>
        <v>293.33333333333468</v>
      </c>
      <c r="GZ134" s="59">
        <f ca="1">AVERAGE(OFFSET($GY$3,0,0,'Données projet'!$E$18+1,1))-AVERAGE(OFFSET($H$3,0,0,'Données projet'!$E$18+1,1))</f>
        <v>199.58763537752952</v>
      </c>
      <c r="HA134" s="59">
        <f t="shared" si="160"/>
        <v>242.62852778451929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0</v>
      </c>
      <c r="HH134" s="21">
        <f>EXP(-LN(2)/25)*HH133+(1-EXP(-LN(2)/25))/(LN(2)/25)*Calculateur!HC134*Calculateur!HE134*VLOOKUP('Données projet'!$B$18,Paramètres!$A$1:$I$89,3,0)*0.475*44/12</f>
        <v>0.62511174606859554</v>
      </c>
      <c r="HI134" s="21">
        <f>EXP(-LN(2)/2)*HI133+(1-EXP(-LN(2)/2))/(LN(2)/2)*HC134*HF134*VLOOKUP('Données projet'!$B$18,Paramètres!$A$1:$I$89,3,0)*0.475*44/12</f>
        <v>6.7586566707520604E-15</v>
      </c>
      <c r="HJ134" s="22">
        <f t="shared" si="138"/>
        <v>0.62511174606860231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-1.0286385077051818E-13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237.22177246688199</v>
      </c>
      <c r="T135" s="59">
        <f t="shared" si="142"/>
        <v>149.27472147904302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0.1836497848963129</v>
      </c>
      <c r="AB135" s="21">
        <f>EXP(-LN(2)/2)*AB134+(1-EXP(-LN(2)/2))/(LN(2)/2)*V135*Y135*VLOOKUP('Données projet'!$B$9,Paramètres!$A$1:$I$89,3,0)*0.475*44/12</f>
        <v>2.7486225981603006E-15</v>
      </c>
      <c r="AC135" s="22">
        <f t="shared" si="111"/>
        <v>0.18364978489631564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-1.1527845344971866E-13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279.20364724206644</v>
      </c>
      <c r="AO135" s="59">
        <f t="shared" si="144"/>
        <v>173.99850582760712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0.20581441410793674</v>
      </c>
      <c r="AW135" s="21">
        <f>EXP(-LN(2)/2)*AW134+(1-EXP(-LN(2)/2))/(LN(2)/2)*AQ135*AT135*VLOOKUP('Données projet'!$B$10,Paramètres!$A$1:$I$89,3,0)*0.475*44/12</f>
        <v>3.0803529117313709E-15</v>
      </c>
      <c r="AX135" s="21">
        <f t="shared" si="114"/>
        <v>0.20581441410793982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-5.3205440053716299E-14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215.23235148064941</v>
      </c>
      <c r="BJ135" s="59">
        <f t="shared" si="146"/>
        <v>184.07239726900434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0.41580735231915766</v>
      </c>
      <c r="BQ135" s="21">
        <f>EXP(-LN(2)/25)*BQ134+(1-EXP(-LN(2)/25))/(LN(2)/25)*Calculateur!BL135*Calculateur!BN135*VLOOKUP('Données projet'!$B$11,Paramètres!$A$1:$I$89,3,0)*0.475*44/12</f>
        <v>0.46448263254222732</v>
      </c>
      <c r="BR135" s="21">
        <f>EXP(-LN(2)/2)*BR134+(1-EXP(-LN(2)/2))/(LN(2)/2)*BL135*BO135*VLOOKUP('Données projet'!$B$11,Paramètres!$A$1:$I$89,3,0)*0.475*44/12</f>
        <v>4.3663634842410168E-15</v>
      </c>
      <c r="BS135" s="22">
        <f t="shared" si="117"/>
        <v>0.88028998486138932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-1.223725121235475E-13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303.1504619632214</v>
      </c>
      <c r="CE135" s="59">
        <f t="shared" si="148"/>
        <v>188.09929616366503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0.21847991651457921</v>
      </c>
      <c r="CM135" s="21">
        <f>EXP(-LN(2)/2)*CM134+(1-EXP(-LN(2)/2))/(LN(2)/2)*CG135*CJ135*VLOOKUP('Données projet'!$B$12,Paramètres!$A$1:$I$89,3,0)*0.475*44/12</f>
        <v>3.2699130909148461E-15</v>
      </c>
      <c r="CN135" s="22">
        <f t="shared" si="120"/>
        <v>0.21847991651458248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5.6843418860808015E-14</v>
      </c>
      <c r="CU135" s="17">
        <f>CT135*VLOOKUP('Données projet'!$B$13,Paramètres!$A$1:$I$89,3,0)*VLOOKUP('Données projet'!$B$13,Paramètres!$A$1:$I$89,5,0)</f>
        <v>3.813056537183002E-14</v>
      </c>
      <c r="CV135" s="13">
        <f t="shared" si="149"/>
        <v>6.4086286045526829E-13</v>
      </c>
      <c r="CW135" s="20">
        <f t="shared" si="121"/>
        <v>1.1825802166488628E-12</v>
      </c>
      <c r="CX135" s="59">
        <f t="shared" si="122"/>
        <v>293.33333333333451</v>
      </c>
      <c r="CY135" s="59">
        <f ca="1">AVERAGE(OFFSET($CX$3,0,0,'Données projet'!$E$13+1,1))-AVERAGE(OFFSET($H$3,0,0,'Données projet'!$E$13+1,1))</f>
        <v>156.63226020379989</v>
      </c>
      <c r="CZ135" s="59">
        <f t="shared" si="150"/>
        <v>196.0481096619543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0.51264265485222638</v>
      </c>
      <c r="DH135" s="21">
        <f>EXP(-LN(2)/2)*DH134+(1-EXP(-LN(2)/2))/(LN(2)/2)*DB135*DE135*VLOOKUP('Données projet'!$B$13,Paramètres!$A$1:$I$89,3,0)*0.475*44/12</f>
        <v>4.0294304791141238E-15</v>
      </c>
      <c r="DI135" s="22">
        <f t="shared" si="123"/>
        <v>0.51264265485223037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-8.5265128291212022E-14</v>
      </c>
      <c r="DP135" s="17">
        <f>DO135*VLOOKUP('Données projet'!$B$14,Paramètres!$A$1:$I$89,3,0)*VLOOKUP('Données projet'!$B$14,Paramètres!$A$1:$I$89,5,0)</f>
        <v>-7.7147888077888636E-14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225.28075317732998</v>
      </c>
      <c r="DU135" s="59">
        <f t="shared" si="152"/>
        <v>358.43407531256207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0.29760712216289475</v>
      </c>
      <c r="EB135" s="21">
        <f>EXP(-LN(2)/25)*EB134+(1-EXP(-LN(2)/25))/(LN(2)/25)*Calculateur!DW135*Calculateur!DY135*VLOOKUP('Données projet'!$B$14,Paramètres!$A$1:$I$89,3,0)*0.475*44/12</f>
        <v>0.48911515476996709</v>
      </c>
      <c r="EC135" s="21">
        <f>EXP(-LN(2)/2)*EC134+(1-EXP(-LN(2)/2))/(LN(2)/2)*DW135*DZ135*VLOOKUP('Données projet'!$B$14,Paramètres!$A$1:$I$89,3,0)*0.475*44/12</f>
        <v>1.9602191492083082E-15</v>
      </c>
      <c r="ED135" s="22">
        <f t="shared" si="126"/>
        <v>0.7867222769328639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-5.6843418860808015E-13</v>
      </c>
      <c r="EK135" s="17">
        <f>EJ135*VLOOKUP('Données projet'!$B$15,Paramètres!$A$1:$I$89,3,0)*VLOOKUP('Données projet'!$B$15,Paramètres!$A$1:$I$89,5,0)</f>
        <v>-3.177547114319168E-13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326.31232746914907</v>
      </c>
      <c r="EP135" s="59">
        <f t="shared" si="154"/>
        <v>330.17137761430297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0.60594535486839252</v>
      </c>
      <c r="EW135" s="21">
        <f>EXP(-LN(2)/25)*EW134+(1-EXP(-LN(2)/25))/(LN(2)/25)*Calculateur!ER135*Calculateur!ET135*VLOOKUP('Données projet'!$B$15,Paramètres!$A$1:$I$89,3,0)*0.475*44/12</f>
        <v>1.7840842771065029</v>
      </c>
      <c r="EX135" s="21">
        <f>EXP(-LN(2)/2)*EX134+(1-EXP(-LN(2)/2))/(LN(2)/2)*ER135*EU135*VLOOKUP('Données projet'!$B$15,Paramètres!$A$1:$I$89,3,0)*0.475*44/12</f>
        <v>1.4442708527100497E-14</v>
      </c>
      <c r="EY135" s="22">
        <f t="shared" si="129"/>
        <v>2.3900296319749099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255.41017495879987</v>
      </c>
      <c r="FK135" s="59">
        <f t="shared" si="156"/>
        <v>297.50513563712764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1.1068431006475499</v>
      </c>
      <c r="FR135" s="21">
        <f>EXP(-LN(2)/25)*FR134+(1-EXP(-LN(2)/25))/(LN(2)/25)*Calculateur!FM135*Calculateur!FO135*VLOOKUP('Données projet'!$B$16,Paramètres!$A$1:$I$89,3,0)*0.475*44/12</f>
        <v>1.6479063412589556</v>
      </c>
      <c r="FS135" s="21">
        <f>EXP(-LN(2)/2)*FS134+(1-EXP(-LN(2)/2))/(LN(2)/2)*FM135*FP135*VLOOKUP('Données projet'!$B$16,Paramètres!$A$1:$I$89,3,0)*0.475*44/12</f>
        <v>1.0836305691391548E-14</v>
      </c>
      <c r="FT135" s="22">
        <f t="shared" si="132"/>
        <v>2.7547494419065162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1.1368683772161603E-13</v>
      </c>
      <c r="GA135" s="17">
        <f>FZ135*VLOOKUP('Données projet'!$B$17,Paramètres!$A$1:$I$89,3,0)*VLOOKUP('Données projet'!$B$17,Paramètres!$A$1:$I$89,5,0)</f>
        <v>6.7984728957526396E-14</v>
      </c>
      <c r="GB135" s="13">
        <f t="shared" si="157"/>
        <v>1.0682447123141398E-12</v>
      </c>
      <c r="GC135" s="20">
        <f t="shared" si="133"/>
        <v>1.978932943548152E-12</v>
      </c>
      <c r="GD135" s="59">
        <f t="shared" si="134"/>
        <v>293.3333333333353</v>
      </c>
      <c r="GE135" s="59">
        <f ca="1">AVERAGE(OFFSET($GD$3,0,0,'Données projet'!$E$17+1,1))-AVERAGE(OFFSET($H$3,0,0,'Données projet'!$E$17+1,1))</f>
        <v>259.30247982593914</v>
      </c>
      <c r="GF135" s="59">
        <f t="shared" si="158"/>
        <v>275.24740346220779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</v>
      </c>
      <c r="GM135" s="21">
        <f>EXP(-LN(2)/25)*GM134+(1-EXP(-LN(2)/25))/(LN(2)/25)*Calculateur!GH135*Calculateur!GJ135*VLOOKUP('Données projet'!$B$17,Paramètres!$A$1:$I$89,3,0)*0.475*44/12</f>
        <v>1.0662668670264941</v>
      </c>
      <c r="GN135" s="21">
        <f>EXP(-LN(2)/2)*GN134+(1-EXP(-LN(2)/2))/(LN(2)/2)*GH135*GK135*VLOOKUP('Données projet'!$B$17,Paramètres!$A$1:$I$89,3,0)*0.475*44/12</f>
        <v>1.2736687341192726E-14</v>
      </c>
      <c r="GO135" s="21">
        <f t="shared" si="135"/>
        <v>1.0662668670265067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5.6843418860808015E-14</v>
      </c>
      <c r="GV135" s="17">
        <f>GU135*VLOOKUP('Données projet'!$B$18,Paramètres!$A$1:$I$89,3,0)*VLOOKUP('Données projet'!$B$18,Paramètres!$A$1:$I$89,5,0)</f>
        <v>4.5224624045658861E-14</v>
      </c>
      <c r="GW135" s="13">
        <f t="shared" si="159"/>
        <v>7.4514601661523691E-13</v>
      </c>
      <c r="GX135" s="20">
        <f t="shared" si="136"/>
        <v>1.3765621991510601E-12</v>
      </c>
      <c r="GY135" s="59">
        <f t="shared" si="137"/>
        <v>293.33333333333468</v>
      </c>
      <c r="GZ135" s="59">
        <f ca="1">AVERAGE(OFFSET($GY$3,0,0,'Données projet'!$E$18+1,1))-AVERAGE(OFFSET($H$3,0,0,'Données projet'!$E$18+1,1))</f>
        <v>199.58763537752952</v>
      </c>
      <c r="HA135" s="59">
        <f t="shared" si="160"/>
        <v>242.62852778451929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0</v>
      </c>
      <c r="HH135" s="21">
        <f>EXP(-LN(2)/25)*HH134+(1-EXP(-LN(2)/25))/(LN(2)/25)*Calculateur!HC135*Calculateur!HE135*VLOOKUP('Données projet'!$B$18,Paramètres!$A$1:$I$89,3,0)*0.475*44/12</f>
        <v>0.60801803249915176</v>
      </c>
      <c r="HI135" s="21">
        <f>EXP(-LN(2)/2)*HI134+(1-EXP(-LN(2)/2))/(LN(2)/2)*HC135*HF135*VLOOKUP('Données projet'!$B$18,Paramètres!$A$1:$I$89,3,0)*0.475*44/12</f>
        <v>4.7790919636004769E-15</v>
      </c>
      <c r="HJ135" s="22">
        <f t="shared" si="138"/>
        <v>0.60801803249915654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-1.0286385077051818E-13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237.22177246688199</v>
      </c>
      <c r="T136" s="59">
        <f t="shared" si="142"/>
        <v>149.27472147904302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0.17862787187060078</v>
      </c>
      <c r="AB136" s="21">
        <f>EXP(-LN(2)/2)*AB135+(1-EXP(-LN(2)/2))/(LN(2)/2)*V136*Y136*VLOOKUP('Données projet'!$B$9,Paramètres!$A$1:$I$89,3,0)*0.475*44/12</f>
        <v>1.9435696780817354E-15</v>
      </c>
      <c r="AC136" s="22">
        <f t="shared" si="111"/>
        <v>0.17862787187060272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-1.1527845344971866E-13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279.20364724206644</v>
      </c>
      <c r="AO136" s="59">
        <f t="shared" si="144"/>
        <v>173.99850582760712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0.20018640813084557</v>
      </c>
      <c r="AW136" s="21">
        <f>EXP(-LN(2)/2)*AW135+(1-EXP(-LN(2)/2))/(LN(2)/2)*AQ136*AT136*VLOOKUP('Données projet'!$B$10,Paramètres!$A$1:$I$89,3,0)*0.475*44/12</f>
        <v>2.178138432332979E-15</v>
      </c>
      <c r="AX136" s="21">
        <f t="shared" si="114"/>
        <v>0.20018640813084773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-5.3205440053716299E-14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215.23235148064941</v>
      </c>
      <c r="BJ136" s="59">
        <f t="shared" si="146"/>
        <v>184.07239726900434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0.40765362375762126</v>
      </c>
      <c r="BQ136" s="21">
        <f>EXP(-LN(2)/25)*BQ135+(1-EXP(-LN(2)/25))/(LN(2)/25)*Calculateur!BL136*Calculateur!BN136*VLOOKUP('Données projet'!$B$11,Paramètres!$A$1:$I$89,3,0)*0.475*44/12</f>
        <v>0.45178133052928005</v>
      </c>
      <c r="BR136" s="21">
        <f>EXP(-LN(2)/2)*BR135+(1-EXP(-LN(2)/2))/(LN(2)/2)*BL136*BO136*VLOOKUP('Données projet'!$B$11,Paramètres!$A$1:$I$89,3,0)*0.475*44/12</f>
        <v>3.087485228832144E-15</v>
      </c>
      <c r="BS136" s="22">
        <f t="shared" si="117"/>
        <v>0.85943495428690442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-1.223725121235475E-13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303.1504619632214</v>
      </c>
      <c r="CE136" s="59">
        <f t="shared" si="148"/>
        <v>188.09929616366503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0.21250557170812856</v>
      </c>
      <c r="CM136" s="21">
        <f>EXP(-LN(2)/2)*CM135+(1-EXP(-LN(2)/2))/(LN(2)/2)*CG136*CJ136*VLOOKUP('Données projet'!$B$12,Paramètres!$A$1:$I$89,3,0)*0.475*44/12</f>
        <v>2.3121777204765513E-15</v>
      </c>
      <c r="CN136" s="22">
        <f t="shared" si="120"/>
        <v>0.21250557170813086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5.6843418860808015E-14</v>
      </c>
      <c r="CU136" s="17">
        <f>CT136*VLOOKUP('Données projet'!$B$13,Paramètres!$A$1:$I$89,3,0)*VLOOKUP('Données projet'!$B$13,Paramètres!$A$1:$I$89,5,0)</f>
        <v>3.813056537183002E-14</v>
      </c>
      <c r="CV136" s="13">
        <f t="shared" si="149"/>
        <v>6.4086286045526829E-13</v>
      </c>
      <c r="CW136" s="20">
        <f t="shared" si="121"/>
        <v>1.1825802166488628E-12</v>
      </c>
      <c r="CX136" s="59">
        <f t="shared" si="122"/>
        <v>293.33333333333451</v>
      </c>
      <c r="CY136" s="59">
        <f ca="1">AVERAGE(OFFSET($CX$3,0,0,'Données projet'!$E$13+1,1))-AVERAGE(OFFSET($H$3,0,0,'Données projet'!$E$13+1,1))</f>
        <v>156.63226020379989</v>
      </c>
      <c r="CZ136" s="59">
        <f t="shared" si="150"/>
        <v>196.0481096619543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0.49862441449658668</v>
      </c>
      <c r="DH136" s="21">
        <f>EXP(-LN(2)/2)*DH135+(1-EXP(-LN(2)/2))/(LN(2)/2)*DB136*DE136*VLOOKUP('Données projet'!$B$13,Paramètres!$A$1:$I$89,3,0)*0.475*44/12</f>
        <v>2.8492376161013561E-15</v>
      </c>
      <c r="DI136" s="22">
        <f t="shared" si="123"/>
        <v>0.49862441449658951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-8.5265128291212022E-14</v>
      </c>
      <c r="DP136" s="17">
        <f>DO136*VLOOKUP('Données projet'!$B$14,Paramètres!$A$1:$I$89,3,0)*VLOOKUP('Données projet'!$B$14,Paramètres!$A$1:$I$89,5,0)</f>
        <v>-7.7147888077888636E-14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225.28075317732998</v>
      </c>
      <c r="DU136" s="59">
        <f t="shared" si="152"/>
        <v>358.43407531256207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0.29177122801970107</v>
      </c>
      <c r="EB136" s="21">
        <f>EXP(-LN(2)/25)*EB135+(1-EXP(-LN(2)/25))/(LN(2)/25)*Calculateur!DW136*Calculateur!DY136*VLOOKUP('Données projet'!$B$14,Paramètres!$A$1:$I$89,3,0)*0.475*44/12</f>
        <v>0.47574027514133421</v>
      </c>
      <c r="EC136" s="21">
        <f>EXP(-LN(2)/2)*EC135+(1-EXP(-LN(2)/2))/(LN(2)/2)*DW136*DZ136*VLOOKUP('Données projet'!$B$14,Paramètres!$A$1:$I$89,3,0)*0.475*44/12</f>
        <v>1.3860842530169195E-15</v>
      </c>
      <c r="ED136" s="22">
        <f t="shared" si="126"/>
        <v>0.76751150316103667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-5.6843418860808015E-13</v>
      </c>
      <c r="EK136" s="17">
        <f>EJ136*VLOOKUP('Données projet'!$B$15,Paramètres!$A$1:$I$89,3,0)*VLOOKUP('Données projet'!$B$15,Paramètres!$A$1:$I$89,5,0)</f>
        <v>-3.177547114319168E-13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326.31232746914907</v>
      </c>
      <c r="EP136" s="59">
        <f t="shared" si="154"/>
        <v>330.17137761430297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0.59406313604959582</v>
      </c>
      <c r="EW136" s="21">
        <f>EXP(-LN(2)/25)*EW135+(1-EXP(-LN(2)/25))/(LN(2)/25)*Calculateur!ER136*Calculateur!ET136*VLOOKUP('Données projet'!$B$15,Paramètres!$A$1:$I$89,3,0)*0.475*44/12</f>
        <v>1.735298398728111</v>
      </c>
      <c r="EX136" s="21">
        <f>EXP(-LN(2)/2)*EX135+(1-EXP(-LN(2)/2))/(LN(2)/2)*ER136*EU136*VLOOKUP('Données projet'!$B$15,Paramètres!$A$1:$I$89,3,0)*0.475*44/12</f>
        <v>1.0212537138213535E-14</v>
      </c>
      <c r="EY136" s="22">
        <f t="shared" si="129"/>
        <v>2.3293615347777172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255.41017495879987</v>
      </c>
      <c r="FK136" s="59">
        <f t="shared" si="156"/>
        <v>297.50513563712764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1.0851385825514814</v>
      </c>
      <c r="FR136" s="21">
        <f>EXP(-LN(2)/25)*FR135+(1-EXP(-LN(2)/25))/(LN(2)/25)*Calculateur!FM136*Calculateur!FO136*VLOOKUP('Données projet'!$B$16,Paramètres!$A$1:$I$89,3,0)*0.475*44/12</f>
        <v>1.6028442556976013</v>
      </c>
      <c r="FS136" s="21">
        <f>EXP(-LN(2)/2)*FS135+(1-EXP(-LN(2)/2))/(LN(2)/2)*FM136*FP136*VLOOKUP('Données projet'!$B$16,Paramètres!$A$1:$I$89,3,0)*0.475*44/12</f>
        <v>7.6624252373933427E-15</v>
      </c>
      <c r="FT136" s="22">
        <f t="shared" si="132"/>
        <v>2.68798283824909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1.1368683772161603E-13</v>
      </c>
      <c r="GA136" s="17">
        <f>FZ136*VLOOKUP('Données projet'!$B$17,Paramètres!$A$1:$I$89,3,0)*VLOOKUP('Données projet'!$B$17,Paramètres!$A$1:$I$89,5,0)</f>
        <v>6.7984728957526396E-14</v>
      </c>
      <c r="GB136" s="13">
        <f t="shared" si="157"/>
        <v>1.0682447123141398E-12</v>
      </c>
      <c r="GC136" s="20">
        <f t="shared" si="133"/>
        <v>1.978932943548152E-12</v>
      </c>
      <c r="GD136" s="59">
        <f t="shared" si="134"/>
        <v>293.3333333333353</v>
      </c>
      <c r="GE136" s="59">
        <f ca="1">AVERAGE(OFFSET($GD$3,0,0,'Données projet'!$E$17+1,1))-AVERAGE(OFFSET($H$3,0,0,'Données projet'!$E$17+1,1))</f>
        <v>259.30247982593914</v>
      </c>
      <c r="GF136" s="59">
        <f t="shared" si="158"/>
        <v>275.24740346220779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</v>
      </c>
      <c r="GM136" s="21">
        <f>EXP(-LN(2)/25)*GM135+(1-EXP(-LN(2)/25))/(LN(2)/25)*Calculateur!GH136*Calculateur!GJ136*VLOOKUP('Données projet'!$B$17,Paramètres!$A$1:$I$89,3,0)*0.475*44/12</f>
        <v>1.0371097434751171</v>
      </c>
      <c r="GN136" s="21">
        <f>EXP(-LN(2)/2)*GN135+(1-EXP(-LN(2)/2))/(LN(2)/2)*GH136*GK136*VLOOKUP('Données projet'!$B$17,Paramètres!$A$1:$I$89,3,0)*0.475*44/12</f>
        <v>9.0061979888102343E-15</v>
      </c>
      <c r="GO136" s="21">
        <f t="shared" si="135"/>
        <v>1.0371097434751262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5.6843418860808015E-14</v>
      </c>
      <c r="GV136" s="17">
        <f>GU136*VLOOKUP('Données projet'!$B$18,Paramètres!$A$1:$I$89,3,0)*VLOOKUP('Données projet'!$B$18,Paramètres!$A$1:$I$89,5,0)</f>
        <v>4.5224624045658861E-14</v>
      </c>
      <c r="GW136" s="13">
        <f t="shared" si="159"/>
        <v>7.4514601661523691E-13</v>
      </c>
      <c r="GX136" s="20">
        <f t="shared" si="136"/>
        <v>1.3765621991510601E-12</v>
      </c>
      <c r="GY136" s="59">
        <f t="shared" si="137"/>
        <v>293.33333333333468</v>
      </c>
      <c r="GZ136" s="59">
        <f ca="1">AVERAGE(OFFSET($GY$3,0,0,'Données projet'!$E$18+1,1))-AVERAGE(OFFSET($H$3,0,0,'Données projet'!$E$18+1,1))</f>
        <v>199.58763537752952</v>
      </c>
      <c r="HA136" s="59">
        <f t="shared" si="160"/>
        <v>242.62852778451929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0</v>
      </c>
      <c r="HH136" s="21">
        <f>EXP(-LN(2)/25)*HH135+(1-EXP(-LN(2)/25))/(LN(2)/25)*Calculateur!HC136*Calculateur!HE136*VLOOKUP('Données projet'!$B$18,Paramètres!$A$1:$I$89,3,0)*0.475*44/12</f>
        <v>0.59139174742618372</v>
      </c>
      <c r="HI136" s="21">
        <f>EXP(-LN(2)/2)*HI135+(1-EXP(-LN(2)/2))/(LN(2)/2)*HC136*HF136*VLOOKUP('Données projet'!$B$18,Paramètres!$A$1:$I$89,3,0)*0.475*44/12</f>
        <v>3.3793283353760302E-15</v>
      </c>
      <c r="HJ136" s="22">
        <f t="shared" si="138"/>
        <v>0.59139174742618705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-1.0286385077051818E-13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237.22177246688199</v>
      </c>
      <c r="T137" s="59">
        <f t="shared" si="142"/>
        <v>149.27472147904302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0.17374328332066769</v>
      </c>
      <c r="AB137" s="21">
        <f>EXP(-LN(2)/2)*AB136+(1-EXP(-LN(2)/2))/(LN(2)/2)*V137*Y137*VLOOKUP('Données projet'!$B$9,Paramètres!$A$1:$I$89,3,0)*0.475*44/12</f>
        <v>1.3743112990801503E-15</v>
      </c>
      <c r="AC137" s="22">
        <f t="shared" si="111"/>
        <v>0.17374328332066907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-1.1527845344971866E-13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279.20364724206644</v>
      </c>
      <c r="AO137" s="59">
        <f t="shared" si="144"/>
        <v>173.99850582760712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0.19471230027316191</v>
      </c>
      <c r="AW137" s="21">
        <f>EXP(-LN(2)/2)*AW136+(1-EXP(-LN(2)/2))/(LN(2)/2)*AQ137*AT137*VLOOKUP('Données projet'!$B$10,Paramètres!$A$1:$I$89,3,0)*0.475*44/12</f>
        <v>1.5401764558656855E-15</v>
      </c>
      <c r="AX137" s="21">
        <f t="shared" si="114"/>
        <v>0.19471230027316344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-5.3205440053716299E-14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215.23235148064941</v>
      </c>
      <c r="BJ137" s="59">
        <f t="shared" si="146"/>
        <v>184.07239726900434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0.39965978483989323</v>
      </c>
      <c r="BQ137" s="21">
        <f>EXP(-LN(2)/25)*BQ136+(1-EXP(-LN(2)/25))/(LN(2)/25)*Calculateur!BL137*Calculateur!BN137*VLOOKUP('Données projet'!$B$11,Paramètres!$A$1:$I$89,3,0)*0.475*44/12</f>
        <v>0.43942734628780927</v>
      </c>
      <c r="BR137" s="21">
        <f>EXP(-LN(2)/2)*BR136+(1-EXP(-LN(2)/2))/(LN(2)/2)*BL137*BO137*VLOOKUP('Données projet'!$B$11,Paramètres!$A$1:$I$89,3,0)*0.475*44/12</f>
        <v>2.1831817421205084E-15</v>
      </c>
      <c r="BS137" s="22">
        <f t="shared" si="117"/>
        <v>0.83908713112770472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-1.223725121235475E-13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303.1504619632214</v>
      </c>
      <c r="CE137" s="59">
        <f t="shared" si="148"/>
        <v>188.09929616366503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0.20669459567458745</v>
      </c>
      <c r="CM137" s="21">
        <f>EXP(-LN(2)/2)*CM136+(1-EXP(-LN(2)/2))/(LN(2)/2)*CG137*CJ137*VLOOKUP('Données projet'!$B$12,Paramètres!$A$1:$I$89,3,0)*0.475*44/12</f>
        <v>1.634956545457423E-15</v>
      </c>
      <c r="CN137" s="22">
        <f t="shared" si="120"/>
        <v>0.20669459567458909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5.6843418860808015E-14</v>
      </c>
      <c r="CU137" s="17">
        <f>CT137*VLOOKUP('Données projet'!$B$13,Paramètres!$A$1:$I$89,3,0)*VLOOKUP('Données projet'!$B$13,Paramètres!$A$1:$I$89,5,0)</f>
        <v>3.813056537183002E-14</v>
      </c>
      <c r="CV137" s="13">
        <f t="shared" si="149"/>
        <v>6.4086286045526829E-13</v>
      </c>
      <c r="CW137" s="20">
        <f t="shared" si="121"/>
        <v>1.1825802166488628E-12</v>
      </c>
      <c r="CX137" s="59">
        <f t="shared" si="122"/>
        <v>293.33333333333451</v>
      </c>
      <c r="CY137" s="59">
        <f ca="1">AVERAGE(OFFSET($CX$3,0,0,'Données projet'!$E$13+1,1))-AVERAGE(OFFSET($H$3,0,0,'Données projet'!$E$13+1,1))</f>
        <v>156.63226020379989</v>
      </c>
      <c r="CZ137" s="59">
        <f t="shared" si="150"/>
        <v>196.0481096619543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0.48498950366065918</v>
      </c>
      <c r="DH137" s="21">
        <f>EXP(-LN(2)/2)*DH136+(1-EXP(-LN(2)/2))/(LN(2)/2)*DB137*DE137*VLOOKUP('Données projet'!$B$13,Paramètres!$A$1:$I$89,3,0)*0.475*44/12</f>
        <v>2.0147152395570619E-15</v>
      </c>
      <c r="DI137" s="22">
        <f t="shared" si="123"/>
        <v>0.48498950366066118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-8.5265128291212022E-14</v>
      </c>
      <c r="DP137" s="17">
        <f>DO137*VLOOKUP('Données projet'!$B$14,Paramètres!$A$1:$I$89,3,0)*VLOOKUP('Données projet'!$B$14,Paramètres!$A$1:$I$89,5,0)</f>
        <v>-7.7147888077888636E-14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225.28075317732998</v>
      </c>
      <c r="DU137" s="59">
        <f t="shared" si="152"/>
        <v>358.43407531256207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0.28604977220111144</v>
      </c>
      <c r="EB137" s="21">
        <f>EXP(-LN(2)/25)*EB136+(1-EXP(-LN(2)/25))/(LN(2)/25)*Calculateur!DW137*Calculateur!DY137*VLOOKUP('Données projet'!$B$14,Paramètres!$A$1:$I$89,3,0)*0.475*44/12</f>
        <v>0.46273113229950069</v>
      </c>
      <c r="EC137" s="21">
        <f>EXP(-LN(2)/2)*EC136+(1-EXP(-LN(2)/2))/(LN(2)/2)*DW137*DZ137*VLOOKUP('Données projet'!$B$14,Paramètres!$A$1:$I$89,3,0)*0.475*44/12</f>
        <v>9.8010957460415408E-16</v>
      </c>
      <c r="ED137" s="22">
        <f t="shared" si="126"/>
        <v>0.74878090450061319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-5.6843418860808015E-13</v>
      </c>
      <c r="EK137" s="17">
        <f>EJ137*VLOOKUP('Données projet'!$B$15,Paramètres!$A$1:$I$89,3,0)*VLOOKUP('Données projet'!$B$15,Paramètres!$A$1:$I$89,5,0)</f>
        <v>-3.177547114319168E-13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326.31232746914907</v>
      </c>
      <c r="EP137" s="59">
        <f t="shared" si="154"/>
        <v>330.17137761430297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0.58241392029439787</v>
      </c>
      <c r="EW137" s="21">
        <f>EXP(-LN(2)/25)*EW136+(1-EXP(-LN(2)/25))/(LN(2)/25)*Calculateur!ER137*Calculateur!ET137*VLOOKUP('Données projet'!$B$15,Paramètres!$A$1:$I$89,3,0)*0.475*44/12</f>
        <v>1.687846572759514</v>
      </c>
      <c r="EX137" s="21">
        <f>EXP(-LN(2)/2)*EX136+(1-EXP(-LN(2)/2))/(LN(2)/2)*ER137*EU137*VLOOKUP('Données projet'!$B$15,Paramètres!$A$1:$I$89,3,0)*0.475*44/12</f>
        <v>7.2213542635502485E-15</v>
      </c>
      <c r="EY137" s="22">
        <f t="shared" si="129"/>
        <v>2.270260493053919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255.41017495879987</v>
      </c>
      <c r="FK137" s="59">
        <f t="shared" si="156"/>
        <v>297.50513563712764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1.063859676816828</v>
      </c>
      <c r="FR137" s="21">
        <f>EXP(-LN(2)/25)*FR136+(1-EXP(-LN(2)/25))/(LN(2)/25)*Calculateur!FM137*Calculateur!FO137*VLOOKUP('Données projet'!$B$16,Paramètres!$A$1:$I$89,3,0)*0.475*44/12</f>
        <v>1.5590143952356343</v>
      </c>
      <c r="FS137" s="21">
        <f>EXP(-LN(2)/2)*FS136+(1-EXP(-LN(2)/2))/(LN(2)/2)*FM137*FP137*VLOOKUP('Données projet'!$B$16,Paramètres!$A$1:$I$89,3,0)*0.475*44/12</f>
        <v>5.4181528456957739E-15</v>
      </c>
      <c r="FT137" s="22">
        <f t="shared" si="132"/>
        <v>2.6228740720524675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1.1368683772161603E-13</v>
      </c>
      <c r="GA137" s="17">
        <f>FZ137*VLOOKUP('Données projet'!$B$17,Paramètres!$A$1:$I$89,3,0)*VLOOKUP('Données projet'!$B$17,Paramètres!$A$1:$I$89,5,0)</f>
        <v>6.7984728957526396E-14</v>
      </c>
      <c r="GB137" s="13">
        <f t="shared" si="157"/>
        <v>1.0682447123141398E-12</v>
      </c>
      <c r="GC137" s="20">
        <f t="shared" si="133"/>
        <v>1.978932943548152E-12</v>
      </c>
      <c r="GD137" s="59">
        <f t="shared" si="134"/>
        <v>293.3333333333353</v>
      </c>
      <c r="GE137" s="59">
        <f ca="1">AVERAGE(OFFSET($GD$3,0,0,'Données projet'!$E$17+1,1))-AVERAGE(OFFSET($H$3,0,0,'Données projet'!$E$17+1,1))</f>
        <v>259.30247982593914</v>
      </c>
      <c r="GF137" s="59">
        <f t="shared" si="158"/>
        <v>275.24740346220779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</v>
      </c>
      <c r="GM137" s="21">
        <f>EXP(-LN(2)/25)*GM136+(1-EXP(-LN(2)/25))/(LN(2)/25)*Calculateur!GH137*Calculateur!GJ137*VLOOKUP('Données projet'!$B$17,Paramètres!$A$1:$I$89,3,0)*0.475*44/12</f>
        <v>1.008749923000559</v>
      </c>
      <c r="GN137" s="21">
        <f>EXP(-LN(2)/2)*GN136+(1-EXP(-LN(2)/2))/(LN(2)/2)*GH137*GK137*VLOOKUP('Données projet'!$B$17,Paramètres!$A$1:$I$89,3,0)*0.475*44/12</f>
        <v>6.3683436705963629E-15</v>
      </c>
      <c r="GO137" s="21">
        <f t="shared" si="135"/>
        <v>1.0087499230005654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5.6843418860808015E-14</v>
      </c>
      <c r="GV137" s="17">
        <f>GU137*VLOOKUP('Données projet'!$B$18,Paramètres!$A$1:$I$89,3,0)*VLOOKUP('Données projet'!$B$18,Paramètres!$A$1:$I$89,5,0)</f>
        <v>4.5224624045658861E-14</v>
      </c>
      <c r="GW137" s="13">
        <f t="shared" si="159"/>
        <v>7.4514601661523691E-13</v>
      </c>
      <c r="GX137" s="20">
        <f t="shared" si="136"/>
        <v>1.3765621991510601E-12</v>
      </c>
      <c r="GY137" s="59">
        <f t="shared" si="137"/>
        <v>293.33333333333468</v>
      </c>
      <c r="GZ137" s="59">
        <f ca="1">AVERAGE(OFFSET($GY$3,0,0,'Données projet'!$E$18+1,1))-AVERAGE(OFFSET($H$3,0,0,'Données projet'!$E$18+1,1))</f>
        <v>199.58763537752952</v>
      </c>
      <c r="HA137" s="59">
        <f t="shared" si="160"/>
        <v>242.62852778451929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0</v>
      </c>
      <c r="HH137" s="21">
        <f>EXP(-LN(2)/25)*HH136+(1-EXP(-LN(2)/25))/(LN(2)/25)*Calculateur!HC137*Calculateur!HE137*VLOOKUP('Données projet'!$B$18,Paramètres!$A$1:$I$89,3,0)*0.475*44/12</f>
        <v>0.57522010899287435</v>
      </c>
      <c r="HI137" s="21">
        <f>EXP(-LN(2)/2)*HI136+(1-EXP(-LN(2)/2))/(LN(2)/2)*HC137*HF137*VLOOKUP('Données projet'!$B$18,Paramètres!$A$1:$I$89,3,0)*0.475*44/12</f>
        <v>2.3895459818002384E-15</v>
      </c>
      <c r="HJ137" s="22">
        <f t="shared" si="138"/>
        <v>0.57522010899287679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-1.0286385077051818E-13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237.22177246688199</v>
      </c>
      <c r="T138" s="59">
        <f t="shared" si="142"/>
        <v>149.27472147904302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0.16899226410150187</v>
      </c>
      <c r="AB138" s="21">
        <f>EXP(-LN(2)/2)*AB137+(1-EXP(-LN(2)/2))/(LN(2)/2)*V138*Y138*VLOOKUP('Données projet'!$B$9,Paramètres!$A$1:$I$89,3,0)*0.475*44/12</f>
        <v>9.7178483904086771E-16</v>
      </c>
      <c r="AC138" s="22">
        <f t="shared" si="111"/>
        <v>0.16899226410150284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-1.1527845344971866E-13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279.20364724206644</v>
      </c>
      <c r="AO138" s="59">
        <f t="shared" si="144"/>
        <v>173.99850582760712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0.18938788218271746</v>
      </c>
      <c r="AW138" s="21">
        <f>EXP(-LN(2)/2)*AW137+(1-EXP(-LN(2)/2))/(LN(2)/2)*AQ138*AT138*VLOOKUP('Données projet'!$B$10,Paramètres!$A$1:$I$89,3,0)*0.475*44/12</f>
        <v>1.0890692161664895E-15</v>
      </c>
      <c r="AX138" s="21">
        <f t="shared" si="114"/>
        <v>0.18938788218271854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-5.3205440053716299E-14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215.23235148064941</v>
      </c>
      <c r="BJ138" s="59">
        <f t="shared" si="146"/>
        <v>184.07239726900434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0.39182270022758153</v>
      </c>
      <c r="BQ138" s="21">
        <f>EXP(-LN(2)/25)*BQ137+(1-EXP(-LN(2)/25))/(LN(2)/25)*Calculateur!BL138*Calculateur!BN138*VLOOKUP('Données projet'!$B$11,Paramètres!$A$1:$I$89,3,0)*0.475*44/12</f>
        <v>0.4274111823950893</v>
      </c>
      <c r="BR138" s="21">
        <f>EXP(-LN(2)/2)*BR137+(1-EXP(-LN(2)/2))/(LN(2)/2)*BL138*BO138*VLOOKUP('Données projet'!$B$11,Paramètres!$A$1:$I$89,3,0)*0.475*44/12</f>
        <v>1.543742614416072E-15</v>
      </c>
      <c r="BS138" s="22">
        <f t="shared" si="117"/>
        <v>0.81923388262267238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-1.223725121235475E-13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303.1504619632214</v>
      </c>
      <c r="CE138" s="59">
        <f t="shared" si="148"/>
        <v>188.09929616366503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0.20104252108626947</v>
      </c>
      <c r="CM138" s="21">
        <f>EXP(-LN(2)/2)*CM137+(1-EXP(-LN(2)/2))/(LN(2)/2)*CG138*CJ138*VLOOKUP('Données projet'!$B$12,Paramètres!$A$1:$I$89,3,0)*0.475*44/12</f>
        <v>1.1560888602382757E-15</v>
      </c>
      <c r="CN138" s="22">
        <f t="shared" si="120"/>
        <v>0.20104252108627063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5.6843418860808015E-14</v>
      </c>
      <c r="CU138" s="17">
        <f>CT138*VLOOKUP('Données projet'!$B$13,Paramètres!$A$1:$I$89,3,0)*VLOOKUP('Données projet'!$B$13,Paramètres!$A$1:$I$89,5,0)</f>
        <v>3.813056537183002E-14</v>
      </c>
      <c r="CV138" s="13">
        <f t="shared" si="149"/>
        <v>6.4086286045526829E-13</v>
      </c>
      <c r="CW138" s="20">
        <f t="shared" si="121"/>
        <v>1.1825802166488628E-12</v>
      </c>
      <c r="CX138" s="59">
        <f t="shared" si="122"/>
        <v>293.33333333333451</v>
      </c>
      <c r="CY138" s="59">
        <f ca="1">AVERAGE(OFFSET($CX$3,0,0,'Données projet'!$E$13+1,1))-AVERAGE(OFFSET($H$3,0,0,'Données projet'!$E$13+1,1))</f>
        <v>156.63226020379989</v>
      </c>
      <c r="CZ138" s="59">
        <f t="shared" si="150"/>
        <v>196.0481096619543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0.47172744017856894</v>
      </c>
      <c r="DH138" s="21">
        <f>EXP(-LN(2)/2)*DH137+(1-EXP(-LN(2)/2))/(LN(2)/2)*DB138*DE138*VLOOKUP('Données projet'!$B$13,Paramètres!$A$1:$I$89,3,0)*0.475*44/12</f>
        <v>1.424618808050678E-15</v>
      </c>
      <c r="DI138" s="22">
        <f t="shared" si="123"/>
        <v>0.47172744017857038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-8.5265128291212022E-14</v>
      </c>
      <c r="DP138" s="17">
        <f>DO138*VLOOKUP('Données projet'!$B$14,Paramètres!$A$1:$I$89,3,0)*VLOOKUP('Données projet'!$B$14,Paramètres!$A$1:$I$89,5,0)</f>
        <v>-7.7147888077888636E-14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225.28075317732998</v>
      </c>
      <c r="DU138" s="59">
        <f t="shared" si="152"/>
        <v>358.43407531256207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0.28044051064138092</v>
      </c>
      <c r="EB138" s="21">
        <f>EXP(-LN(2)/25)*EB137+(1-EXP(-LN(2)/25))/(LN(2)/25)*Calculateur!DW138*Calculateur!DY138*VLOOKUP('Données projet'!$B$14,Paramètres!$A$1:$I$89,3,0)*0.475*44/12</f>
        <v>0.4500777251527982</v>
      </c>
      <c r="EC138" s="21">
        <f>EXP(-LN(2)/2)*EC137+(1-EXP(-LN(2)/2))/(LN(2)/2)*DW138*DZ138*VLOOKUP('Données projet'!$B$14,Paramètres!$A$1:$I$89,3,0)*0.475*44/12</f>
        <v>6.9304212650845975E-16</v>
      </c>
      <c r="ED138" s="22">
        <f t="shared" si="126"/>
        <v>0.73051823579417974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-5.6843418860808015E-13</v>
      </c>
      <c r="EK138" s="17">
        <f>EJ138*VLOOKUP('Données projet'!$B$15,Paramètres!$A$1:$I$89,3,0)*VLOOKUP('Données projet'!$B$15,Paramètres!$A$1:$I$89,5,0)</f>
        <v>-3.177547114319168E-13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326.31232746914907</v>
      </c>
      <c r="EP138" s="59">
        <f t="shared" si="154"/>
        <v>330.17137761430297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0.57099313855483935</v>
      </c>
      <c r="EW138" s="21">
        <f>EXP(-LN(2)/25)*EW137+(1-EXP(-LN(2)/25))/(LN(2)/25)*Calculateur!ER138*Calculateur!ET138*VLOOKUP('Données projet'!$B$15,Paramètres!$A$1:$I$89,3,0)*0.475*44/12</f>
        <v>1.6416923194674113</v>
      </c>
      <c r="EX138" s="21">
        <f>EXP(-LN(2)/2)*EX137+(1-EXP(-LN(2)/2))/(LN(2)/2)*ER138*EU138*VLOOKUP('Données projet'!$B$15,Paramètres!$A$1:$I$89,3,0)*0.475*44/12</f>
        <v>5.1062685691067676E-15</v>
      </c>
      <c r="EY138" s="22">
        <f t="shared" si="129"/>
        <v>2.2126854580222557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255.41017495879987</v>
      </c>
      <c r="FK138" s="59">
        <f t="shared" si="156"/>
        <v>297.50513563712764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1.0429980374447803</v>
      </c>
      <c r="FR138" s="21">
        <f>EXP(-LN(2)/25)*FR137+(1-EXP(-LN(2)/25))/(LN(2)/25)*Calculateur!FM138*Calculateur!FO138*VLOOKUP('Données projet'!$B$16,Paramètres!$A$1:$I$89,3,0)*0.475*44/12</f>
        <v>1.5163830646129119</v>
      </c>
      <c r="FS138" s="21">
        <f>EXP(-LN(2)/2)*FS137+(1-EXP(-LN(2)/2))/(LN(2)/2)*FM138*FP138*VLOOKUP('Données projet'!$B$16,Paramètres!$A$1:$I$89,3,0)*0.475*44/12</f>
        <v>3.8312126186966713E-15</v>
      </c>
      <c r="FT138" s="22">
        <f t="shared" si="132"/>
        <v>2.5593811020576962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1.1368683772161603E-13</v>
      </c>
      <c r="GA138" s="17">
        <f>FZ138*VLOOKUP('Données projet'!$B$17,Paramètres!$A$1:$I$89,3,0)*VLOOKUP('Données projet'!$B$17,Paramètres!$A$1:$I$89,5,0)</f>
        <v>6.7984728957526396E-14</v>
      </c>
      <c r="GB138" s="13">
        <f t="shared" si="157"/>
        <v>1.0682447123141398E-12</v>
      </c>
      <c r="GC138" s="20">
        <f t="shared" si="133"/>
        <v>1.978932943548152E-12</v>
      </c>
      <c r="GD138" s="59">
        <f t="shared" si="134"/>
        <v>293.3333333333353</v>
      </c>
      <c r="GE138" s="59">
        <f ca="1">AVERAGE(OFFSET($GD$3,0,0,'Données projet'!$E$17+1,1))-AVERAGE(OFFSET($H$3,0,0,'Données projet'!$E$17+1,1))</f>
        <v>259.30247982593914</v>
      </c>
      <c r="GF138" s="59">
        <f t="shared" si="158"/>
        <v>275.24740346220779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</v>
      </c>
      <c r="GM138" s="21">
        <f>EXP(-LN(2)/25)*GM137+(1-EXP(-LN(2)/25))/(LN(2)/25)*Calculateur!GH138*Calculateur!GJ138*VLOOKUP('Données projet'!$B$17,Paramètres!$A$1:$I$89,3,0)*0.475*44/12</f>
        <v>0.98116560330825575</v>
      </c>
      <c r="GN138" s="21">
        <f>EXP(-LN(2)/2)*GN137+(1-EXP(-LN(2)/2))/(LN(2)/2)*GH138*GK138*VLOOKUP('Données projet'!$B$17,Paramètres!$A$1:$I$89,3,0)*0.475*44/12</f>
        <v>4.5030989944051172E-15</v>
      </c>
      <c r="GO138" s="21">
        <f t="shared" si="135"/>
        <v>0.9811656033082603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5.6843418860808015E-14</v>
      </c>
      <c r="GV138" s="17">
        <f>GU138*VLOOKUP('Données projet'!$B$18,Paramètres!$A$1:$I$89,3,0)*VLOOKUP('Données projet'!$B$18,Paramètres!$A$1:$I$89,5,0)</f>
        <v>4.5224624045658861E-14</v>
      </c>
      <c r="GW138" s="13">
        <f t="shared" si="159"/>
        <v>7.4514601661523691E-13</v>
      </c>
      <c r="GX138" s="20">
        <f t="shared" si="136"/>
        <v>1.3765621991510601E-12</v>
      </c>
      <c r="GY138" s="59">
        <f t="shared" si="137"/>
        <v>293.33333333333468</v>
      </c>
      <c r="GZ138" s="59">
        <f ca="1">AVERAGE(OFFSET($GY$3,0,0,'Données projet'!$E$18+1,1))-AVERAGE(OFFSET($H$3,0,0,'Données projet'!$E$18+1,1))</f>
        <v>199.58763537752952</v>
      </c>
      <c r="HA138" s="59">
        <f t="shared" si="160"/>
        <v>242.62852778451929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0</v>
      </c>
      <c r="HH138" s="21">
        <f>EXP(-LN(2)/25)*HH137+(1-EXP(-LN(2)/25))/(LN(2)/25)*Calculateur!HC138*Calculateur!HE138*VLOOKUP('Données projet'!$B$18,Paramètres!$A$1:$I$89,3,0)*0.475*44/12</f>
        <v>0.55949068486295339</v>
      </c>
      <c r="HI138" s="21">
        <f>EXP(-LN(2)/2)*HI137+(1-EXP(-LN(2)/2))/(LN(2)/2)*HC138*HF138*VLOOKUP('Données projet'!$B$18,Paramètres!$A$1:$I$89,3,0)*0.475*44/12</f>
        <v>1.6896641676880151E-15</v>
      </c>
      <c r="HJ138" s="22">
        <f t="shared" si="138"/>
        <v>0.55949068486295506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-1.0286385077051818E-13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237.22177246688199</v>
      </c>
      <c r="T139" s="59">
        <f t="shared" si="142"/>
        <v>149.27472147904302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0.16437116175272937</v>
      </c>
      <c r="AB139" s="21">
        <f>EXP(-LN(2)/2)*AB138+(1-EXP(-LN(2)/2))/(LN(2)/2)*V139*Y139*VLOOKUP('Données projet'!$B$9,Paramètres!$A$1:$I$89,3,0)*0.475*44/12</f>
        <v>6.8715564954007516E-16</v>
      </c>
      <c r="AC139" s="22">
        <f t="shared" si="111"/>
        <v>0.16437116175273006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-1.1527845344971866E-13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279.20364724206644</v>
      </c>
      <c r="AO139" s="59">
        <f t="shared" si="144"/>
        <v>173.99850582760712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0.18420906058495518</v>
      </c>
      <c r="AW139" s="21">
        <f>EXP(-LN(2)/2)*AW138+(1-EXP(-LN(2)/2))/(LN(2)/2)*AQ139*AT139*VLOOKUP('Données projet'!$B$10,Paramètres!$A$1:$I$89,3,0)*0.475*44/12</f>
        <v>7.7008822793284273E-16</v>
      </c>
      <c r="AX139" s="21">
        <f t="shared" si="114"/>
        <v>0.18420906058495595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-5.3205440053716299E-14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215.23235148064941</v>
      </c>
      <c r="BJ139" s="59">
        <f t="shared" si="146"/>
        <v>184.07239726900434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0.38413929606436764</v>
      </c>
      <c r="BQ139" s="21">
        <f>EXP(-LN(2)/25)*BQ138+(1-EXP(-LN(2)/25))/(LN(2)/25)*Calculateur!BL139*Calculateur!BN139*VLOOKUP('Données projet'!$B$11,Paramètres!$A$1:$I$89,3,0)*0.475*44/12</f>
        <v>0.41572360113591833</v>
      </c>
      <c r="BR139" s="21">
        <f>EXP(-LN(2)/2)*BR138+(1-EXP(-LN(2)/2))/(LN(2)/2)*BL139*BO139*VLOOKUP('Données projet'!$B$11,Paramètres!$A$1:$I$89,3,0)*0.475*44/12</f>
        <v>1.0915908710602542E-15</v>
      </c>
      <c r="BS139" s="22">
        <f t="shared" si="117"/>
        <v>0.79986289720028703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-1.223725121235475E-13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303.1504619632214</v>
      </c>
      <c r="CE139" s="59">
        <f t="shared" si="148"/>
        <v>188.09929616366503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0.19554500277479872</v>
      </c>
      <c r="CM139" s="21">
        <f>EXP(-LN(2)/2)*CM138+(1-EXP(-LN(2)/2))/(LN(2)/2)*CG139*CJ139*VLOOKUP('Données projet'!$B$12,Paramètres!$A$1:$I$89,3,0)*0.475*44/12</f>
        <v>8.1747827272871152E-16</v>
      </c>
      <c r="CN139" s="22">
        <f t="shared" si="120"/>
        <v>0.19554500277479953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5.6843418860808015E-14</v>
      </c>
      <c r="CU139" s="17">
        <f>CT139*VLOOKUP('Données projet'!$B$13,Paramètres!$A$1:$I$89,3,0)*VLOOKUP('Données projet'!$B$13,Paramètres!$A$1:$I$89,5,0)</f>
        <v>3.813056537183002E-14</v>
      </c>
      <c r="CV139" s="13">
        <f t="shared" si="149"/>
        <v>6.4086286045526829E-13</v>
      </c>
      <c r="CW139" s="20">
        <f t="shared" si="121"/>
        <v>1.1825802166488628E-12</v>
      </c>
      <c r="CX139" s="59">
        <f t="shared" si="122"/>
        <v>293.33333333333451</v>
      </c>
      <c r="CY139" s="59">
        <f ca="1">AVERAGE(OFFSET($CX$3,0,0,'Données projet'!$E$13+1,1))-AVERAGE(OFFSET($H$3,0,0,'Données projet'!$E$13+1,1))</f>
        <v>156.63226020379989</v>
      </c>
      <c r="CZ139" s="59">
        <f t="shared" si="150"/>
        <v>196.0481096619543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0.45882802851981802</v>
      </c>
      <c r="DH139" s="21">
        <f>EXP(-LN(2)/2)*DH138+(1-EXP(-LN(2)/2))/(LN(2)/2)*DB139*DE139*VLOOKUP('Données projet'!$B$13,Paramètres!$A$1:$I$89,3,0)*0.475*44/12</f>
        <v>1.0073576197785309E-15</v>
      </c>
      <c r="DI139" s="22">
        <f t="shared" si="123"/>
        <v>0.45882802851981902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-8.5265128291212022E-14</v>
      </c>
      <c r="DP139" s="17">
        <f>DO139*VLOOKUP('Données projet'!$B$14,Paramètres!$A$1:$I$89,3,0)*VLOOKUP('Données projet'!$B$14,Paramètres!$A$1:$I$89,5,0)</f>
        <v>-7.7147888077888636E-14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225.28075317732998</v>
      </c>
      <c r="DU139" s="59">
        <f t="shared" si="152"/>
        <v>358.43407531256207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0.27494124327952496</v>
      </c>
      <c r="EB139" s="21">
        <f>EXP(-LN(2)/25)*EB138+(1-EXP(-LN(2)/25))/(LN(2)/25)*Calculateur!DW139*Calculateur!DY139*VLOOKUP('Données projet'!$B$14,Paramètres!$A$1:$I$89,3,0)*0.475*44/12</f>
        <v>0.43777032608993605</v>
      </c>
      <c r="EC139" s="21">
        <f>EXP(-LN(2)/2)*EC138+(1-EXP(-LN(2)/2))/(LN(2)/2)*DW139*DZ139*VLOOKUP('Données projet'!$B$14,Paramètres!$A$1:$I$89,3,0)*0.475*44/12</f>
        <v>4.9005478730207704E-16</v>
      </c>
      <c r="ED139" s="22">
        <f t="shared" si="126"/>
        <v>0.71271156936946145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-5.6843418860808015E-13</v>
      </c>
      <c r="EK139" s="17">
        <f>EJ139*VLOOKUP('Données projet'!$B$15,Paramètres!$A$1:$I$89,3,0)*VLOOKUP('Données projet'!$B$15,Paramètres!$A$1:$I$89,5,0)</f>
        <v>-3.177547114319168E-13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326.31232746914907</v>
      </c>
      <c r="EP139" s="59">
        <f t="shared" si="154"/>
        <v>330.17137761430297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0.55979631137920449</v>
      </c>
      <c r="EW139" s="21">
        <f>EXP(-LN(2)/25)*EW138+(1-EXP(-LN(2)/25))/(LN(2)/25)*Calculateur!ER139*Calculateur!ET139*VLOOKUP('Données projet'!$B$15,Paramètres!$A$1:$I$89,3,0)*0.475*44/12</f>
        <v>1.596800156658728</v>
      </c>
      <c r="EX139" s="21">
        <f>EXP(-LN(2)/2)*EX138+(1-EXP(-LN(2)/2))/(LN(2)/2)*ER139*EU139*VLOOKUP('Données projet'!$B$15,Paramètres!$A$1:$I$89,3,0)*0.475*44/12</f>
        <v>3.6106771317751242E-15</v>
      </c>
      <c r="EY139" s="22">
        <f t="shared" si="129"/>
        <v>2.1565964680379359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255.41017495879987</v>
      </c>
      <c r="FK139" s="59">
        <f t="shared" si="156"/>
        <v>297.50513563712764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1.0225454820964748</v>
      </c>
      <c r="FR139" s="21">
        <f>EXP(-LN(2)/25)*FR138+(1-EXP(-LN(2)/25))/(LN(2)/25)*Calculateur!FM139*Calculateur!FO139*VLOOKUP('Données projet'!$B$16,Paramètres!$A$1:$I$89,3,0)*0.475*44/12</f>
        <v>1.4749174899679522</v>
      </c>
      <c r="FS139" s="21">
        <f>EXP(-LN(2)/2)*FS138+(1-EXP(-LN(2)/2))/(LN(2)/2)*FM139*FP139*VLOOKUP('Données projet'!$B$16,Paramètres!$A$1:$I$89,3,0)*0.475*44/12</f>
        <v>2.709076422847887E-15</v>
      </c>
      <c r="FT139" s="22">
        <f t="shared" si="132"/>
        <v>2.4974629720644295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1.1368683772161603E-13</v>
      </c>
      <c r="GA139" s="17">
        <f>FZ139*VLOOKUP('Données projet'!$B$17,Paramètres!$A$1:$I$89,3,0)*VLOOKUP('Données projet'!$B$17,Paramètres!$A$1:$I$89,5,0)</f>
        <v>6.7984728957526396E-14</v>
      </c>
      <c r="GB139" s="13">
        <f t="shared" si="157"/>
        <v>1.0682447123141398E-12</v>
      </c>
      <c r="GC139" s="20">
        <f t="shared" si="133"/>
        <v>1.978932943548152E-12</v>
      </c>
      <c r="GD139" s="59">
        <f t="shared" si="134"/>
        <v>293.3333333333353</v>
      </c>
      <c r="GE139" s="59">
        <f ca="1">AVERAGE(OFFSET($GD$3,0,0,'Données projet'!$E$17+1,1))-AVERAGE(OFFSET($H$3,0,0,'Données projet'!$E$17+1,1))</f>
        <v>259.30247982593914</v>
      </c>
      <c r="GF139" s="59">
        <f t="shared" si="158"/>
        <v>275.24740346220779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</v>
      </c>
      <c r="GM139" s="21">
        <f>EXP(-LN(2)/25)*GM138+(1-EXP(-LN(2)/25))/(LN(2)/25)*Calculateur!GH139*Calculateur!GJ139*VLOOKUP('Données projet'!$B$17,Paramètres!$A$1:$I$89,3,0)*0.475*44/12</f>
        <v>0.95433557828853488</v>
      </c>
      <c r="GN139" s="21">
        <f>EXP(-LN(2)/2)*GN138+(1-EXP(-LN(2)/2))/(LN(2)/2)*GH139*GK139*VLOOKUP('Données projet'!$B$17,Paramètres!$A$1:$I$89,3,0)*0.475*44/12</f>
        <v>3.1841718352981814E-15</v>
      </c>
      <c r="GO139" s="21">
        <f t="shared" si="135"/>
        <v>0.9543355782885381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5.6843418860808015E-14</v>
      </c>
      <c r="GV139" s="17">
        <f>GU139*VLOOKUP('Données projet'!$B$18,Paramètres!$A$1:$I$89,3,0)*VLOOKUP('Données projet'!$B$18,Paramètres!$A$1:$I$89,5,0)</f>
        <v>4.5224624045658861E-14</v>
      </c>
      <c r="GW139" s="13">
        <f t="shared" si="159"/>
        <v>7.4514601661523691E-13</v>
      </c>
      <c r="GX139" s="20">
        <f t="shared" si="136"/>
        <v>1.3765621991510601E-12</v>
      </c>
      <c r="GY139" s="59">
        <f t="shared" si="137"/>
        <v>293.33333333333468</v>
      </c>
      <c r="GZ139" s="59">
        <f ca="1">AVERAGE(OFFSET($GY$3,0,0,'Données projet'!$E$18+1,1))-AVERAGE(OFFSET($H$3,0,0,'Données projet'!$E$18+1,1))</f>
        <v>199.58763537752952</v>
      </c>
      <c r="HA139" s="59">
        <f t="shared" si="160"/>
        <v>242.62852778451929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0</v>
      </c>
      <c r="HH139" s="21">
        <f>EXP(-LN(2)/25)*HH138+(1-EXP(-LN(2)/25))/(LN(2)/25)*Calculateur!HC139*Calculateur!HE139*VLOOKUP('Données projet'!$B$18,Paramètres!$A$1:$I$89,3,0)*0.475*44/12</f>
        <v>0.54419138266303957</v>
      </c>
      <c r="HI139" s="21">
        <f>EXP(-LN(2)/2)*HI138+(1-EXP(-LN(2)/2))/(LN(2)/2)*HC139*HF139*VLOOKUP('Données projet'!$B$18,Paramètres!$A$1:$I$89,3,0)*0.475*44/12</f>
        <v>1.1947729909001192E-15</v>
      </c>
      <c r="HJ139" s="22">
        <f t="shared" si="138"/>
        <v>0.54419138266304079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-1.0286385077051818E-13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237.22177246688199</v>
      </c>
      <c r="T140" s="59">
        <f t="shared" si="142"/>
        <v>149.27472147904302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0.15987642369069727</v>
      </c>
      <c r="AB140" s="21">
        <f>EXP(-LN(2)/2)*AB139+(1-EXP(-LN(2)/2))/(LN(2)/2)*V140*Y140*VLOOKUP('Données projet'!$B$9,Paramètres!$A$1:$I$89,3,0)*0.475*44/12</f>
        <v>4.8589241952043386E-16</v>
      </c>
      <c r="AC140" s="22">
        <f t="shared" si="111"/>
        <v>0.15987642369069777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-1.1527845344971866E-13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279.20364724206644</v>
      </c>
      <c r="AO140" s="59">
        <f t="shared" si="144"/>
        <v>173.99850582760712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0.1791718541361261</v>
      </c>
      <c r="AW140" s="21">
        <f>EXP(-LN(2)/2)*AW139+(1-EXP(-LN(2)/2))/(LN(2)/2)*AQ140*AT140*VLOOKUP('Données projet'!$B$10,Paramètres!$A$1:$I$89,3,0)*0.475*44/12</f>
        <v>5.4453460808324476E-16</v>
      </c>
      <c r="AX140" s="21">
        <f t="shared" si="114"/>
        <v>0.17917185413612666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-5.3205440053716299E-14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215.23235148064941</v>
      </c>
      <c r="BJ140" s="59">
        <f t="shared" si="146"/>
        <v>184.07239726900434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0.37660655877038063</v>
      </c>
      <c r="BQ140" s="21">
        <f>EXP(-LN(2)/25)*BQ139+(1-EXP(-LN(2)/25))/(LN(2)/25)*Calculateur!BL140*Calculateur!BN140*VLOOKUP('Données projet'!$B$11,Paramètres!$A$1:$I$89,3,0)*0.475*44/12</f>
        <v>0.40435561740090259</v>
      </c>
      <c r="BR140" s="21">
        <f>EXP(-LN(2)/2)*BR139+(1-EXP(-LN(2)/2))/(LN(2)/2)*BL140*BO140*VLOOKUP('Données projet'!$B$11,Paramètres!$A$1:$I$89,3,0)*0.475*44/12</f>
        <v>7.7187130720803599E-16</v>
      </c>
      <c r="BS140" s="22">
        <f t="shared" si="117"/>
        <v>0.78096217617128405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-1.223725121235475E-13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303.1504619632214</v>
      </c>
      <c r="CE140" s="59">
        <f t="shared" si="148"/>
        <v>188.09929616366503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0.19019781439065708</v>
      </c>
      <c r="CM140" s="21">
        <f>EXP(-LN(2)/2)*CM139+(1-EXP(-LN(2)/2))/(LN(2)/2)*CG140*CJ140*VLOOKUP('Données projet'!$B$12,Paramètres!$A$1:$I$89,3,0)*0.475*44/12</f>
        <v>5.7804443011913783E-16</v>
      </c>
      <c r="CN140" s="22">
        <f t="shared" si="120"/>
        <v>0.19019781439065767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5.6843418860808015E-14</v>
      </c>
      <c r="CU140" s="17">
        <f>CT140*VLOOKUP('Données projet'!$B$13,Paramètres!$A$1:$I$89,3,0)*VLOOKUP('Données projet'!$B$13,Paramètres!$A$1:$I$89,5,0)</f>
        <v>3.813056537183002E-14</v>
      </c>
      <c r="CV140" s="13">
        <f t="shared" si="149"/>
        <v>6.4086286045526829E-13</v>
      </c>
      <c r="CW140" s="20">
        <f t="shared" si="121"/>
        <v>1.1825802166488628E-12</v>
      </c>
      <c r="CX140" s="59">
        <f t="shared" si="122"/>
        <v>293.33333333333451</v>
      </c>
      <c r="CY140" s="59">
        <f ca="1">AVERAGE(OFFSET($CX$3,0,0,'Données projet'!$E$13+1,1))-AVERAGE(OFFSET($H$3,0,0,'Données projet'!$E$13+1,1))</f>
        <v>156.63226020379989</v>
      </c>
      <c r="CZ140" s="59">
        <f t="shared" si="150"/>
        <v>196.0481096619543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0.44628135195122626</v>
      </c>
      <c r="DH140" s="21">
        <f>EXP(-LN(2)/2)*DH139+(1-EXP(-LN(2)/2))/(LN(2)/2)*DB140*DE140*VLOOKUP('Données projet'!$B$13,Paramètres!$A$1:$I$89,3,0)*0.475*44/12</f>
        <v>7.1230940402533902E-16</v>
      </c>
      <c r="DI140" s="22">
        <f t="shared" si="123"/>
        <v>0.44628135195122698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-8.5265128291212022E-14</v>
      </c>
      <c r="DP140" s="17">
        <f>DO140*VLOOKUP('Données projet'!$B$14,Paramètres!$A$1:$I$89,3,0)*VLOOKUP('Données projet'!$B$14,Paramètres!$A$1:$I$89,5,0)</f>
        <v>-7.7147888077888636E-14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225.28075317732998</v>
      </c>
      <c r="DU140" s="59">
        <f t="shared" si="152"/>
        <v>358.43407531256207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0.26954981319641313</v>
      </c>
      <c r="EB140" s="21">
        <f>EXP(-LN(2)/25)*EB139+(1-EXP(-LN(2)/25))/(LN(2)/25)*Calculateur!DW140*Calculateur!DY140*VLOOKUP('Données projet'!$B$14,Paramètres!$A$1:$I$89,3,0)*0.475*44/12</f>
        <v>0.42579947350166586</v>
      </c>
      <c r="EC140" s="21">
        <f>EXP(-LN(2)/2)*EC139+(1-EXP(-LN(2)/2))/(LN(2)/2)*DW140*DZ140*VLOOKUP('Données projet'!$B$14,Paramètres!$A$1:$I$89,3,0)*0.475*44/12</f>
        <v>3.4652106325422988E-16</v>
      </c>
      <c r="ED140" s="22">
        <f t="shared" si="126"/>
        <v>0.69534928669807938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-5.6843418860808015E-13</v>
      </c>
      <c r="EK140" s="17">
        <f>EJ140*VLOOKUP('Données projet'!$B$15,Paramètres!$A$1:$I$89,3,0)*VLOOKUP('Données projet'!$B$15,Paramètres!$A$1:$I$89,5,0)</f>
        <v>-3.177547114319168E-13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326.31232746914907</v>
      </c>
      <c r="EP140" s="59">
        <f t="shared" si="154"/>
        <v>330.17137761430297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0.54881904715509366</v>
      </c>
      <c r="EW140" s="21">
        <f>EXP(-LN(2)/25)*EW139+(1-EXP(-LN(2)/25))/(LN(2)/25)*Calculateur!ER140*Calculateur!ET140*VLOOKUP('Données projet'!$B$15,Paramètres!$A$1:$I$89,3,0)*0.475*44/12</f>
        <v>1.5531355724028244</v>
      </c>
      <c r="EX140" s="21">
        <f>EXP(-LN(2)/2)*EX139+(1-EXP(-LN(2)/2))/(LN(2)/2)*ER140*EU140*VLOOKUP('Données projet'!$B$15,Paramètres!$A$1:$I$89,3,0)*0.475*44/12</f>
        <v>2.5531342845533838E-15</v>
      </c>
      <c r="EY140" s="22">
        <f t="shared" si="129"/>
        <v>2.1019546195579206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255.41017495879987</v>
      </c>
      <c r="FK140" s="59">
        <f t="shared" si="156"/>
        <v>297.50513563712764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1.0024939888837225</v>
      </c>
      <c r="FR140" s="21">
        <f>EXP(-LN(2)/25)*FR139+(1-EXP(-LN(2)/25))/(LN(2)/25)*Calculateur!FM140*Calculateur!FO140*VLOOKUP('Données projet'!$B$16,Paramètres!$A$1:$I$89,3,0)*0.475*44/12</f>
        <v>1.4345857936422388</v>
      </c>
      <c r="FS140" s="21">
        <f>EXP(-LN(2)/2)*FS139+(1-EXP(-LN(2)/2))/(LN(2)/2)*FM140*FP140*VLOOKUP('Données projet'!$B$16,Paramètres!$A$1:$I$89,3,0)*0.475*44/12</f>
        <v>1.9156063093483357E-15</v>
      </c>
      <c r="FT140" s="22">
        <f t="shared" si="132"/>
        <v>2.4370797825259629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1.1368683772161603E-13</v>
      </c>
      <c r="GA140" s="17">
        <f>FZ140*VLOOKUP('Données projet'!$B$17,Paramètres!$A$1:$I$89,3,0)*VLOOKUP('Données projet'!$B$17,Paramètres!$A$1:$I$89,5,0)</f>
        <v>6.7984728957526396E-14</v>
      </c>
      <c r="GB140" s="13">
        <f t="shared" si="157"/>
        <v>1.0682447123141398E-12</v>
      </c>
      <c r="GC140" s="20">
        <f t="shared" si="133"/>
        <v>1.978932943548152E-12</v>
      </c>
      <c r="GD140" s="59">
        <f t="shared" si="134"/>
        <v>293.3333333333353</v>
      </c>
      <c r="GE140" s="59">
        <f ca="1">AVERAGE(OFFSET($GD$3,0,0,'Données projet'!$E$17+1,1))-AVERAGE(OFFSET($H$3,0,0,'Données projet'!$E$17+1,1))</f>
        <v>259.30247982593914</v>
      </c>
      <c r="GF140" s="59">
        <f t="shared" si="158"/>
        <v>275.24740346220779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</v>
      </c>
      <c r="GM140" s="21">
        <f>EXP(-LN(2)/25)*GM139+(1-EXP(-LN(2)/25))/(LN(2)/25)*Calculateur!GH140*Calculateur!GJ140*VLOOKUP('Données projet'!$B$17,Paramètres!$A$1:$I$89,3,0)*0.475*44/12</f>
        <v>0.92823922171390805</v>
      </c>
      <c r="GN140" s="21">
        <f>EXP(-LN(2)/2)*GN139+(1-EXP(-LN(2)/2))/(LN(2)/2)*GH140*GK140*VLOOKUP('Données projet'!$B$17,Paramètres!$A$1:$I$89,3,0)*0.475*44/12</f>
        <v>2.2515494972025586E-15</v>
      </c>
      <c r="GO140" s="21">
        <f t="shared" si="135"/>
        <v>0.92823922171391027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5.6843418860808015E-14</v>
      </c>
      <c r="GV140" s="17">
        <f>GU140*VLOOKUP('Données projet'!$B$18,Paramètres!$A$1:$I$89,3,0)*VLOOKUP('Données projet'!$B$18,Paramètres!$A$1:$I$89,5,0)</f>
        <v>4.5224624045658861E-14</v>
      </c>
      <c r="GW140" s="13">
        <f t="shared" si="159"/>
        <v>7.4514601661523691E-13</v>
      </c>
      <c r="GX140" s="20">
        <f t="shared" si="136"/>
        <v>1.3765621991510601E-12</v>
      </c>
      <c r="GY140" s="59">
        <f t="shared" si="137"/>
        <v>293.33333333333468</v>
      </c>
      <c r="GZ140" s="59">
        <f ca="1">AVERAGE(OFFSET($GY$3,0,0,'Données projet'!$E$18+1,1))-AVERAGE(OFFSET($H$3,0,0,'Données projet'!$E$18+1,1))</f>
        <v>199.58763537752952</v>
      </c>
      <c r="HA140" s="59">
        <f t="shared" si="160"/>
        <v>242.62852778451929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0</v>
      </c>
      <c r="HH140" s="21">
        <f>EXP(-LN(2)/25)*HH139+(1-EXP(-LN(2)/25))/(LN(2)/25)*Calculateur!HC140*Calculateur!HE140*VLOOKUP('Données projet'!$B$18,Paramètres!$A$1:$I$89,3,0)*0.475*44/12</f>
        <v>0.5293104406863377</v>
      </c>
      <c r="HI140" s="21">
        <f>EXP(-LN(2)/2)*HI139+(1-EXP(-LN(2)/2))/(LN(2)/2)*HC140*HF140*VLOOKUP('Données projet'!$B$18,Paramètres!$A$1:$I$89,3,0)*0.475*44/12</f>
        <v>8.4483208384400755E-16</v>
      </c>
      <c r="HJ140" s="22">
        <f t="shared" si="138"/>
        <v>0.52931044068633859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-1.0286385077051818E-13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237.22177246688199</v>
      </c>
      <c r="T141" s="59">
        <f t="shared" si="142"/>
        <v>149.27472147904302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0.15550459447733944</v>
      </c>
      <c r="AB141" s="21">
        <f>EXP(-LN(2)/2)*AB140+(1-EXP(-LN(2)/2))/(LN(2)/2)*V141*Y141*VLOOKUP('Données projet'!$B$9,Paramètres!$A$1:$I$89,3,0)*0.475*44/12</f>
        <v>3.4357782477003758E-16</v>
      </c>
      <c r="AC141" s="22">
        <f t="shared" si="111"/>
        <v>0.15550459447733977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-1.1527845344971866E-13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279.20364724206644</v>
      </c>
      <c r="AO141" s="59">
        <f t="shared" si="144"/>
        <v>173.99850582760712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0.17427239036253542</v>
      </c>
      <c r="AW141" s="21">
        <f>EXP(-LN(2)/2)*AW140+(1-EXP(-LN(2)/2))/(LN(2)/2)*AQ141*AT141*VLOOKUP('Données projet'!$B$10,Paramètres!$A$1:$I$89,3,0)*0.475*44/12</f>
        <v>3.8504411396642137E-16</v>
      </c>
      <c r="AX141" s="21">
        <f t="shared" si="114"/>
        <v>0.17427239036253581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-5.3205440053716299E-14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215.23235148064941</v>
      </c>
      <c r="BJ141" s="59">
        <f t="shared" si="146"/>
        <v>184.07239726900434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0.36922153386021261</v>
      </c>
      <c r="BQ141" s="21">
        <f>EXP(-LN(2)/25)*BQ140+(1-EXP(-LN(2)/25))/(LN(2)/25)*Calculateur!BL141*Calculateur!BN141*VLOOKUP('Données projet'!$B$11,Paramètres!$A$1:$I$89,3,0)*0.475*44/12</f>
        <v>0.39329849177893716</v>
      </c>
      <c r="BR141" s="21">
        <f>EXP(-LN(2)/2)*BR140+(1-EXP(-LN(2)/2))/(LN(2)/2)*BL141*BO141*VLOOKUP('Données projet'!$B$11,Paramètres!$A$1:$I$89,3,0)*0.475*44/12</f>
        <v>5.457954355301271E-16</v>
      </c>
      <c r="BS141" s="22">
        <f t="shared" si="117"/>
        <v>0.76252002563915033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-1.223725121235475E-13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303.1504619632214</v>
      </c>
      <c r="CE141" s="59">
        <f t="shared" si="148"/>
        <v>188.09929616366503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0.18499684515407622</v>
      </c>
      <c r="CM141" s="21">
        <f>EXP(-LN(2)/2)*CM140+(1-EXP(-LN(2)/2))/(LN(2)/2)*CG141*CJ141*VLOOKUP('Données projet'!$B$12,Paramètres!$A$1:$I$89,3,0)*0.475*44/12</f>
        <v>4.0873913636435576E-16</v>
      </c>
      <c r="CN141" s="22">
        <f t="shared" si="120"/>
        <v>0.18499684515407663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5.6843418860808015E-14</v>
      </c>
      <c r="CU141" s="17">
        <f>CT141*VLOOKUP('Données projet'!$B$13,Paramètres!$A$1:$I$89,3,0)*VLOOKUP('Données projet'!$B$13,Paramètres!$A$1:$I$89,5,0)</f>
        <v>3.813056537183002E-14</v>
      </c>
      <c r="CV141" s="13">
        <f t="shared" si="149"/>
        <v>6.4086286045526829E-13</v>
      </c>
      <c r="CW141" s="20">
        <f t="shared" si="121"/>
        <v>1.1825802166488628E-12</v>
      </c>
      <c r="CX141" s="59">
        <f t="shared" si="122"/>
        <v>293.33333333333451</v>
      </c>
      <c r="CY141" s="59">
        <f ca="1">AVERAGE(OFFSET($CX$3,0,0,'Données projet'!$E$13+1,1))-AVERAGE(OFFSET($H$3,0,0,'Données projet'!$E$13+1,1))</f>
        <v>156.63226020379989</v>
      </c>
      <c r="CZ141" s="59">
        <f t="shared" si="150"/>
        <v>196.0481096619543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0.43407776491320366</v>
      </c>
      <c r="DH141" s="21">
        <f>EXP(-LN(2)/2)*DH140+(1-EXP(-LN(2)/2))/(LN(2)/2)*DB141*DE141*VLOOKUP('Données projet'!$B$13,Paramètres!$A$1:$I$89,3,0)*0.475*44/12</f>
        <v>5.0367880988926547E-16</v>
      </c>
      <c r="DI141" s="22">
        <f t="shared" si="123"/>
        <v>0.43407776491320416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-8.5265128291212022E-14</v>
      </c>
      <c r="DP141" s="17">
        <f>DO141*VLOOKUP('Données projet'!$B$14,Paramètres!$A$1:$I$89,3,0)*VLOOKUP('Données projet'!$B$14,Paramètres!$A$1:$I$89,5,0)</f>
        <v>-7.7147888077888636E-14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225.28075317732998</v>
      </c>
      <c r="DU141" s="59">
        <f t="shared" si="152"/>
        <v>358.43407531256207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0.26426410576878345</v>
      </c>
      <c r="EB141" s="21">
        <f>EXP(-LN(2)/25)*EB140+(1-EXP(-LN(2)/25))/(LN(2)/25)*Calculateur!DW141*Calculateur!DY141*VLOOKUP('Données projet'!$B$14,Paramètres!$A$1:$I$89,3,0)*0.475*44/12</f>
        <v>0.4141559645069417</v>
      </c>
      <c r="EC141" s="21">
        <f>EXP(-LN(2)/2)*EC140+(1-EXP(-LN(2)/2))/(LN(2)/2)*DW141*DZ141*VLOOKUP('Données projet'!$B$14,Paramètres!$A$1:$I$89,3,0)*0.475*44/12</f>
        <v>2.4502739365103852E-16</v>
      </c>
      <c r="ED141" s="22">
        <f t="shared" si="126"/>
        <v>0.67842007027572537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-5.6843418860808015E-13</v>
      </c>
      <c r="EK141" s="17">
        <f>EJ141*VLOOKUP('Données projet'!$B$15,Paramètres!$A$1:$I$89,3,0)*VLOOKUP('Données projet'!$B$15,Paramètres!$A$1:$I$89,5,0)</f>
        <v>-3.177547114319168E-13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326.31232746914907</v>
      </c>
      <c r="EP141" s="59">
        <f t="shared" si="154"/>
        <v>330.17137761430297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0.53805704038694757</v>
      </c>
      <c r="EW141" s="21">
        <f>EXP(-LN(2)/25)*EW140+(1-EXP(-LN(2)/25))/(LN(2)/25)*Calculateur!ER141*Calculateur!ET141*VLOOKUP('Données projet'!$B$15,Paramètres!$A$1:$I$89,3,0)*0.475*44/12</f>
        <v>1.5106649984996192</v>
      </c>
      <c r="EX141" s="21">
        <f>EXP(-LN(2)/2)*EX140+(1-EXP(-LN(2)/2))/(LN(2)/2)*ER141*EU141*VLOOKUP('Données projet'!$B$15,Paramètres!$A$1:$I$89,3,0)*0.475*44/12</f>
        <v>1.8053385658875621E-15</v>
      </c>
      <c r="EY141" s="22">
        <f t="shared" si="129"/>
        <v>2.0487220388865683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255.41017495879987</v>
      </c>
      <c r="FK141" s="59">
        <f t="shared" si="156"/>
        <v>297.50513563712764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0.98283569322266917</v>
      </c>
      <c r="FR141" s="21">
        <f>EXP(-LN(2)/25)*FR140+(1-EXP(-LN(2)/25))/(LN(2)/25)*Calculateur!FM141*Calculateur!FO141*VLOOKUP('Données projet'!$B$16,Paramètres!$A$1:$I$89,3,0)*0.475*44/12</f>
        <v>1.3953569696735038</v>
      </c>
      <c r="FS141" s="21">
        <f>EXP(-LN(2)/2)*FS140+(1-EXP(-LN(2)/2))/(LN(2)/2)*FM141*FP141*VLOOKUP('Données projet'!$B$16,Paramètres!$A$1:$I$89,3,0)*0.475*44/12</f>
        <v>1.3545382114239435E-15</v>
      </c>
      <c r="FT141" s="22">
        <f t="shared" si="132"/>
        <v>2.3781926628961743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1.1368683772161603E-13</v>
      </c>
      <c r="GA141" s="17">
        <f>FZ141*VLOOKUP('Données projet'!$B$17,Paramètres!$A$1:$I$89,3,0)*VLOOKUP('Données projet'!$B$17,Paramètres!$A$1:$I$89,5,0)</f>
        <v>6.7984728957526396E-14</v>
      </c>
      <c r="GB141" s="13">
        <f t="shared" si="157"/>
        <v>1.0682447123141398E-12</v>
      </c>
      <c r="GC141" s="20">
        <f t="shared" si="133"/>
        <v>1.978932943548152E-12</v>
      </c>
      <c r="GD141" s="59">
        <f t="shared" si="134"/>
        <v>293.3333333333353</v>
      </c>
      <c r="GE141" s="59">
        <f ca="1">AVERAGE(OFFSET($GD$3,0,0,'Données projet'!$E$17+1,1))-AVERAGE(OFFSET($H$3,0,0,'Données projet'!$E$17+1,1))</f>
        <v>259.30247982593914</v>
      </c>
      <c r="GF141" s="59">
        <f t="shared" si="158"/>
        <v>275.24740346220779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</v>
      </c>
      <c r="GM141" s="21">
        <f>EXP(-LN(2)/25)*GM140+(1-EXP(-LN(2)/25))/(LN(2)/25)*Calculateur!GH141*Calculateur!GJ141*VLOOKUP('Données projet'!$B$17,Paramètres!$A$1:$I$89,3,0)*0.475*44/12</f>
        <v>0.90285647138216207</v>
      </c>
      <c r="GN141" s="21">
        <f>EXP(-LN(2)/2)*GN140+(1-EXP(-LN(2)/2))/(LN(2)/2)*GH141*GK141*VLOOKUP('Données projet'!$B$17,Paramètres!$A$1:$I$89,3,0)*0.475*44/12</f>
        <v>1.5920859176490907E-15</v>
      </c>
      <c r="GO141" s="21">
        <f t="shared" si="135"/>
        <v>0.90285647138216363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5.6843418860808015E-14</v>
      </c>
      <c r="GV141" s="17">
        <f>GU141*VLOOKUP('Données projet'!$B$18,Paramètres!$A$1:$I$89,3,0)*VLOOKUP('Données projet'!$B$18,Paramètres!$A$1:$I$89,5,0)</f>
        <v>4.5224624045658861E-14</v>
      </c>
      <c r="GW141" s="13">
        <f t="shared" si="159"/>
        <v>7.4514601661523691E-13</v>
      </c>
      <c r="GX141" s="20">
        <f t="shared" si="136"/>
        <v>1.3765621991510601E-12</v>
      </c>
      <c r="GY141" s="59">
        <f t="shared" si="137"/>
        <v>293.33333333333468</v>
      </c>
      <c r="GZ141" s="59">
        <f ca="1">AVERAGE(OFFSET($GY$3,0,0,'Données projet'!$E$18+1,1))-AVERAGE(OFFSET($H$3,0,0,'Données projet'!$E$18+1,1))</f>
        <v>199.58763537752952</v>
      </c>
      <c r="HA141" s="59">
        <f t="shared" si="160"/>
        <v>242.62852778451929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0</v>
      </c>
      <c r="HH141" s="21">
        <f>EXP(-LN(2)/25)*HH140+(1-EXP(-LN(2)/25))/(LN(2)/25)*Calculateur!HC141*Calculateur!HE141*VLOOKUP('Données projet'!$B$18,Paramètres!$A$1:$I$89,3,0)*0.475*44/12</f>
        <v>0.51483641885054343</v>
      </c>
      <c r="HI141" s="21">
        <f>EXP(-LN(2)/2)*HI140+(1-EXP(-LN(2)/2))/(LN(2)/2)*HC141*HF141*VLOOKUP('Données projet'!$B$18,Paramètres!$A$1:$I$89,3,0)*0.475*44/12</f>
        <v>5.9738649545005961E-16</v>
      </c>
      <c r="HJ141" s="22">
        <f t="shared" si="138"/>
        <v>0.51483641885054399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-1.0286385077051818E-13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237.22177246688199</v>
      </c>
      <c r="T142" s="59">
        <f t="shared" si="142"/>
        <v>149.27472147904302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0.15125231316372539</v>
      </c>
      <c r="AB142" s="21">
        <f>EXP(-LN(2)/2)*AB141+(1-EXP(-LN(2)/2))/(LN(2)/2)*V142*Y142*VLOOKUP('Données projet'!$B$9,Paramètres!$A$1:$I$89,3,0)*0.475*44/12</f>
        <v>2.4294620976021693E-16</v>
      </c>
      <c r="AC142" s="22">
        <f t="shared" si="111"/>
        <v>0.15125231316372564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-1.1527845344971866E-13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279.20364724206644</v>
      </c>
      <c r="AO142" s="59">
        <f t="shared" si="144"/>
        <v>173.99850582760712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0.16950690268348517</v>
      </c>
      <c r="AW142" s="21">
        <f>EXP(-LN(2)/2)*AW141+(1-EXP(-LN(2)/2))/(LN(2)/2)*AQ142*AT142*VLOOKUP('Données projet'!$B$10,Paramètres!$A$1:$I$89,3,0)*0.475*44/12</f>
        <v>2.7226730404162238E-16</v>
      </c>
      <c r="AX142" s="21">
        <f t="shared" si="114"/>
        <v>0.16950690268348545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-5.3205440053716299E-14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215.23235148064941</v>
      </c>
      <c r="BJ142" s="59">
        <f t="shared" si="146"/>
        <v>184.07239726900434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0.36198132478411255</v>
      </c>
      <c r="BQ142" s="21">
        <f>EXP(-LN(2)/25)*BQ141+(1-EXP(-LN(2)/25))/(LN(2)/25)*Calculateur!BL142*Calculateur!BN142*VLOOKUP('Données projet'!$B$11,Paramètres!$A$1:$I$89,3,0)*0.475*44/12</f>
        <v>0.38254372383857332</v>
      </c>
      <c r="BR142" s="21">
        <f>EXP(-LN(2)/2)*BR141+(1-EXP(-LN(2)/2))/(LN(2)/2)*BL142*BO142*VLOOKUP('Données projet'!$B$11,Paramètres!$A$1:$I$89,3,0)*0.475*44/12</f>
        <v>3.85935653604018E-16</v>
      </c>
      <c r="BS142" s="22">
        <f t="shared" si="117"/>
        <v>0.7445250486226862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-1.223725121235475E-13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303.1504619632214</v>
      </c>
      <c r="CE142" s="59">
        <f t="shared" si="148"/>
        <v>188.09929616366503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0.17993809669477673</v>
      </c>
      <c r="CM142" s="21">
        <f>EXP(-LN(2)/2)*CM141+(1-EXP(-LN(2)/2))/(LN(2)/2)*CG142*CJ142*VLOOKUP('Données projet'!$B$12,Paramètres!$A$1:$I$89,3,0)*0.475*44/12</f>
        <v>2.8902221505956891E-16</v>
      </c>
      <c r="CN142" s="22">
        <f t="shared" si="120"/>
        <v>0.17993809669477701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5.6843418860808015E-14</v>
      </c>
      <c r="CU142" s="17">
        <f>CT142*VLOOKUP('Données projet'!$B$13,Paramètres!$A$1:$I$89,3,0)*VLOOKUP('Données projet'!$B$13,Paramètres!$A$1:$I$89,5,0)</f>
        <v>3.813056537183002E-14</v>
      </c>
      <c r="CV142" s="13">
        <f t="shared" si="149"/>
        <v>6.4086286045526829E-13</v>
      </c>
      <c r="CW142" s="20">
        <f t="shared" si="121"/>
        <v>1.1825802166488628E-12</v>
      </c>
      <c r="CX142" s="59">
        <f t="shared" si="122"/>
        <v>293.33333333333451</v>
      </c>
      <c r="CY142" s="59">
        <f ca="1">AVERAGE(OFFSET($CX$3,0,0,'Données projet'!$E$13+1,1))-AVERAGE(OFFSET($H$3,0,0,'Données projet'!$E$13+1,1))</f>
        <v>156.63226020379989</v>
      </c>
      <c r="CZ142" s="59">
        <f t="shared" si="150"/>
        <v>196.0481096619543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0.42220788560449457</v>
      </c>
      <c r="DH142" s="21">
        <f>EXP(-LN(2)/2)*DH141+(1-EXP(-LN(2)/2))/(LN(2)/2)*DB142*DE142*VLOOKUP('Données projet'!$B$13,Paramètres!$A$1:$I$89,3,0)*0.475*44/12</f>
        <v>3.5615470201266951E-16</v>
      </c>
      <c r="DI142" s="22">
        <f t="shared" si="123"/>
        <v>0.4222078856044949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-8.5265128291212022E-14</v>
      </c>
      <c r="DP142" s="17">
        <f>DO142*VLOOKUP('Données projet'!$B$14,Paramètres!$A$1:$I$89,3,0)*VLOOKUP('Données projet'!$B$14,Paramètres!$A$1:$I$89,5,0)</f>
        <v>-7.7147888077888636E-14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225.28075317732998</v>
      </c>
      <c r="DU142" s="59">
        <f t="shared" si="152"/>
        <v>358.43407531256207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0.2590820478398464</v>
      </c>
      <c r="EB142" s="21">
        <f>EXP(-LN(2)/25)*EB141+(1-EXP(-LN(2)/25))/(LN(2)/25)*Calculateur!DW142*Calculateur!DY142*VLOOKUP('Données projet'!$B$14,Paramètres!$A$1:$I$89,3,0)*0.475*44/12</f>
        <v>0.40283084787798379</v>
      </c>
      <c r="EC142" s="21">
        <f>EXP(-LN(2)/2)*EC141+(1-EXP(-LN(2)/2))/(LN(2)/2)*DW142*DZ142*VLOOKUP('Données projet'!$B$14,Paramètres!$A$1:$I$89,3,0)*0.475*44/12</f>
        <v>1.7326053162711494E-16</v>
      </c>
      <c r="ED142" s="22">
        <f t="shared" si="126"/>
        <v>0.66191289571783041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-5.6843418860808015E-13</v>
      </c>
      <c r="EK142" s="17">
        <f>EJ142*VLOOKUP('Données projet'!$B$15,Paramètres!$A$1:$I$89,3,0)*VLOOKUP('Données projet'!$B$15,Paramètres!$A$1:$I$89,5,0)</f>
        <v>-3.177547114319168E-13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326.31232746914907</v>
      </c>
      <c r="EP142" s="59">
        <f t="shared" si="154"/>
        <v>330.17137761430297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0.52750607000734884</v>
      </c>
      <c r="EW142" s="21">
        <f>EXP(-LN(2)/25)*EW141+(1-EXP(-LN(2)/25))/(LN(2)/25)*Calculateur!ER142*Calculateur!ET142*VLOOKUP('Données projet'!$B$15,Paramètres!$A$1:$I$89,3,0)*0.475*44/12</f>
        <v>1.4693557846732275</v>
      </c>
      <c r="EX142" s="21">
        <f>EXP(-LN(2)/2)*EX141+(1-EXP(-LN(2)/2))/(LN(2)/2)*ER142*EU142*VLOOKUP('Données projet'!$B$15,Paramètres!$A$1:$I$89,3,0)*0.475*44/12</f>
        <v>1.2765671422766919E-15</v>
      </c>
      <c r="EY142" s="22">
        <f t="shared" si="129"/>
        <v>1.9968618546805776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255.41017495879987</v>
      </c>
      <c r="FK142" s="59">
        <f t="shared" si="156"/>
        <v>297.50513563712764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0.96356288474915264</v>
      </c>
      <c r="FR142" s="21">
        <f>EXP(-LN(2)/25)*FR141+(1-EXP(-LN(2)/25))/(LN(2)/25)*Calculateur!FM142*Calculateur!FO142*VLOOKUP('Données projet'!$B$16,Paramètres!$A$1:$I$89,3,0)*0.475*44/12</f>
        <v>1.3572008599591479</v>
      </c>
      <c r="FS142" s="21">
        <f>EXP(-LN(2)/2)*FS141+(1-EXP(-LN(2)/2))/(LN(2)/2)*FM142*FP142*VLOOKUP('Données projet'!$B$16,Paramètres!$A$1:$I$89,3,0)*0.475*44/12</f>
        <v>9.5780315467416783E-16</v>
      </c>
      <c r="FT142" s="22">
        <f t="shared" si="132"/>
        <v>2.3207637447083016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1.1368683772161603E-13</v>
      </c>
      <c r="GA142" s="17">
        <f>FZ142*VLOOKUP('Données projet'!$B$17,Paramètres!$A$1:$I$89,3,0)*VLOOKUP('Données projet'!$B$17,Paramètres!$A$1:$I$89,5,0)</f>
        <v>6.7984728957526396E-14</v>
      </c>
      <c r="GB142" s="13">
        <f t="shared" si="157"/>
        <v>1.0682447123141398E-12</v>
      </c>
      <c r="GC142" s="20">
        <f t="shared" si="133"/>
        <v>1.978932943548152E-12</v>
      </c>
      <c r="GD142" s="59">
        <f t="shared" si="134"/>
        <v>293.3333333333353</v>
      </c>
      <c r="GE142" s="59">
        <f ca="1">AVERAGE(OFFSET($GD$3,0,0,'Données projet'!$E$17+1,1))-AVERAGE(OFFSET($H$3,0,0,'Données projet'!$E$17+1,1))</f>
        <v>259.30247982593914</v>
      </c>
      <c r="GF142" s="59">
        <f t="shared" si="158"/>
        <v>275.24740346220779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</v>
      </c>
      <c r="GM142" s="21">
        <f>EXP(-LN(2)/25)*GM141+(1-EXP(-LN(2)/25))/(LN(2)/25)*Calculateur!GH142*Calculateur!GJ142*VLOOKUP('Données projet'!$B$17,Paramètres!$A$1:$I$89,3,0)*0.475*44/12</f>
        <v>0.87816781369305852</v>
      </c>
      <c r="GN142" s="21">
        <f>EXP(-LN(2)/2)*GN141+(1-EXP(-LN(2)/2))/(LN(2)/2)*GH142*GK142*VLOOKUP('Données projet'!$B$17,Paramètres!$A$1:$I$89,3,0)*0.475*44/12</f>
        <v>1.1257747486012793E-15</v>
      </c>
      <c r="GO142" s="21">
        <f t="shared" si="135"/>
        <v>0.87816781369305963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5.6843418860808015E-14</v>
      </c>
      <c r="GV142" s="17">
        <f>GU142*VLOOKUP('Données projet'!$B$18,Paramètres!$A$1:$I$89,3,0)*VLOOKUP('Données projet'!$B$18,Paramètres!$A$1:$I$89,5,0)</f>
        <v>4.5224624045658861E-14</v>
      </c>
      <c r="GW142" s="13">
        <f t="shared" si="159"/>
        <v>7.4514601661523691E-13</v>
      </c>
      <c r="GX142" s="20">
        <f t="shared" si="136"/>
        <v>1.3765621991510601E-12</v>
      </c>
      <c r="GY142" s="59">
        <f t="shared" si="137"/>
        <v>293.33333333333468</v>
      </c>
      <c r="GZ142" s="59">
        <f ca="1">AVERAGE(OFFSET($GY$3,0,0,'Données projet'!$E$18+1,1))-AVERAGE(OFFSET($H$3,0,0,'Données projet'!$E$18+1,1))</f>
        <v>199.58763537752952</v>
      </c>
      <c r="HA142" s="59">
        <f t="shared" si="160"/>
        <v>242.62852778451929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0</v>
      </c>
      <c r="HH142" s="21">
        <f>EXP(-LN(2)/25)*HH141+(1-EXP(-LN(2)/25))/(LN(2)/25)*Calculateur!HC142*Calculateur!HE142*VLOOKUP('Données projet'!$B$18,Paramètres!$A$1:$I$89,3,0)*0.475*44/12</f>
        <v>0.50075818990300469</v>
      </c>
      <c r="HI142" s="21">
        <f>EXP(-LN(2)/2)*HI141+(1-EXP(-LN(2)/2))/(LN(2)/2)*HC142*HF142*VLOOKUP('Données projet'!$B$18,Paramètres!$A$1:$I$89,3,0)*0.475*44/12</f>
        <v>4.2241604192200378E-16</v>
      </c>
      <c r="HJ142" s="22">
        <f t="shared" si="138"/>
        <v>0.50075818990300514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-1.0286385077051818E-13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237.22177246688199</v>
      </c>
      <c r="T143" s="59">
        <f t="shared" si="142"/>
        <v>149.27472147904302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0.14711631070624986</v>
      </c>
      <c r="AB143" s="21">
        <f>EXP(-LN(2)/2)*AB142+(1-EXP(-LN(2)/2))/(LN(2)/2)*V143*Y143*VLOOKUP('Données projet'!$B$9,Paramètres!$A$1:$I$89,3,0)*0.475*44/12</f>
        <v>1.7178891238501879E-16</v>
      </c>
      <c r="AC143" s="22">
        <f t="shared" si="111"/>
        <v>0.14711631070625003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-1.1527845344971866E-13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279.20364724206644</v>
      </c>
      <c r="AO143" s="59">
        <f t="shared" si="144"/>
        <v>173.99850582760712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0.16487172751562468</v>
      </c>
      <c r="AW143" s="21">
        <f>EXP(-LN(2)/2)*AW142+(1-EXP(-LN(2)/2))/(LN(2)/2)*AQ143*AT143*VLOOKUP('Données projet'!$B$10,Paramètres!$A$1:$I$89,3,0)*0.475*44/12</f>
        <v>1.9252205698321068E-16</v>
      </c>
      <c r="AX143" s="21">
        <f t="shared" si="114"/>
        <v>0.16487172751562487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-5.3205440053716299E-14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215.23235148064941</v>
      </c>
      <c r="BJ143" s="59">
        <f t="shared" si="146"/>
        <v>184.07239726900434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0.3548830917919033</v>
      </c>
      <c r="BQ143" s="21">
        <f>EXP(-LN(2)/25)*BQ142+(1-EXP(-LN(2)/25))/(LN(2)/25)*Calculateur!BL143*Calculateur!BN143*VLOOKUP('Données projet'!$B$11,Paramètres!$A$1:$I$89,3,0)*0.475*44/12</f>
        <v>0.3720830455931074</v>
      </c>
      <c r="BR143" s="21">
        <f>EXP(-LN(2)/2)*BR142+(1-EXP(-LN(2)/2))/(LN(2)/2)*BL143*BO143*VLOOKUP('Données projet'!$B$11,Paramètres!$A$1:$I$89,3,0)*0.475*44/12</f>
        <v>2.7289771776506355E-16</v>
      </c>
      <c r="BS143" s="22">
        <f t="shared" si="117"/>
        <v>0.72696613738501092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-1.223725121235475E-13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303.1504619632214</v>
      </c>
      <c r="CE143" s="59">
        <f t="shared" si="148"/>
        <v>188.09929616366503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0.17501767997812481</v>
      </c>
      <c r="CM143" s="21">
        <f>EXP(-LN(2)/2)*CM142+(1-EXP(-LN(2)/2))/(LN(2)/2)*CG143*CJ143*VLOOKUP('Données projet'!$B$12,Paramètres!$A$1:$I$89,3,0)*0.475*44/12</f>
        <v>2.0436956818217788E-16</v>
      </c>
      <c r="CN143" s="22">
        <f t="shared" si="120"/>
        <v>0.17501767997812501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5.6843418860808015E-14</v>
      </c>
      <c r="CU143" s="17">
        <f>CT143*VLOOKUP('Données projet'!$B$13,Paramètres!$A$1:$I$89,3,0)*VLOOKUP('Données projet'!$B$13,Paramètres!$A$1:$I$89,5,0)</f>
        <v>3.813056537183002E-14</v>
      </c>
      <c r="CV143" s="13">
        <f t="shared" si="149"/>
        <v>6.4086286045526829E-13</v>
      </c>
      <c r="CW143" s="20">
        <f t="shared" si="121"/>
        <v>1.1825802166488628E-12</v>
      </c>
      <c r="CX143" s="59">
        <f t="shared" si="122"/>
        <v>293.33333333333451</v>
      </c>
      <c r="CY143" s="59">
        <f ca="1">AVERAGE(OFFSET($CX$3,0,0,'Données projet'!$E$13+1,1))-AVERAGE(OFFSET($H$3,0,0,'Données projet'!$E$13+1,1))</f>
        <v>156.63226020379989</v>
      </c>
      <c r="CZ143" s="59">
        <f t="shared" si="150"/>
        <v>196.0481096619543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0.41066258876969192</v>
      </c>
      <c r="DH143" s="21">
        <f>EXP(-LN(2)/2)*DH142+(1-EXP(-LN(2)/2))/(LN(2)/2)*DB143*DE143*VLOOKUP('Données projet'!$B$13,Paramètres!$A$1:$I$89,3,0)*0.475*44/12</f>
        <v>2.5183940494463274E-16</v>
      </c>
      <c r="DI143" s="22">
        <f t="shared" si="123"/>
        <v>0.41066258876969219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-8.5265128291212022E-14</v>
      </c>
      <c r="DP143" s="17">
        <f>DO143*VLOOKUP('Données projet'!$B$14,Paramètres!$A$1:$I$89,3,0)*VLOOKUP('Données projet'!$B$14,Paramètres!$A$1:$I$89,5,0)</f>
        <v>-7.7147888077888636E-14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225.28075317732998</v>
      </c>
      <c r="DU143" s="59">
        <f t="shared" si="152"/>
        <v>358.43407531256207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0.25400160690615259</v>
      </c>
      <c r="EB143" s="21">
        <f>EXP(-LN(2)/25)*EB142+(1-EXP(-LN(2)/25))/(LN(2)/25)*Calculateur!DW143*Calculateur!DY143*VLOOKUP('Données projet'!$B$14,Paramètres!$A$1:$I$89,3,0)*0.475*44/12</f>
        <v>0.39181541715880669</v>
      </c>
      <c r="EC143" s="21">
        <f>EXP(-LN(2)/2)*EC142+(1-EXP(-LN(2)/2))/(LN(2)/2)*DW143*DZ143*VLOOKUP('Données projet'!$B$14,Paramètres!$A$1:$I$89,3,0)*0.475*44/12</f>
        <v>1.2251369682551926E-16</v>
      </c>
      <c r="ED143" s="22">
        <f t="shared" si="126"/>
        <v>0.64581702406495933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-5.6843418860808015E-13</v>
      </c>
      <c r="EK143" s="17">
        <f>EJ143*VLOOKUP('Données projet'!$B$15,Paramètres!$A$1:$I$89,3,0)*VLOOKUP('Données projet'!$B$15,Paramètres!$A$1:$I$89,5,0)</f>
        <v>-3.177547114319168E-13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326.31232746914907</v>
      </c>
      <c r="EP143" s="59">
        <f t="shared" si="154"/>
        <v>330.17137761430297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0.51716199772143756</v>
      </c>
      <c r="EW143" s="21">
        <f>EXP(-LN(2)/25)*EW142+(1-EXP(-LN(2)/25))/(LN(2)/25)*Calculateur!ER143*Calculateur!ET143*VLOOKUP('Données projet'!$B$15,Paramètres!$A$1:$I$89,3,0)*0.475*44/12</f>
        <v>1.4291761734712756</v>
      </c>
      <c r="EX143" s="21">
        <f>EXP(-LN(2)/2)*EX142+(1-EXP(-LN(2)/2))/(LN(2)/2)*ER143*EU143*VLOOKUP('Données projet'!$B$15,Paramètres!$A$1:$I$89,3,0)*0.475*44/12</f>
        <v>9.0266928294378106E-16</v>
      </c>
      <c r="EY143" s="22">
        <f t="shared" si="129"/>
        <v>1.9463381711927141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255.41017495879987</v>
      </c>
      <c r="FK143" s="59">
        <f t="shared" si="156"/>
        <v>297.50513563712764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0.94466800429454933</v>
      </c>
      <c r="FR143" s="21">
        <f>EXP(-LN(2)/25)*FR142+(1-EXP(-LN(2)/25))/(LN(2)/25)*Calculateur!FM143*Calculateur!FO143*VLOOKUP('Données projet'!$B$16,Paramètres!$A$1:$I$89,3,0)*0.475*44/12</f>
        <v>1.3200881310714736</v>
      </c>
      <c r="FS143" s="21">
        <f>EXP(-LN(2)/2)*FS142+(1-EXP(-LN(2)/2))/(LN(2)/2)*FM143*FP143*VLOOKUP('Données projet'!$B$16,Paramètres!$A$1:$I$89,3,0)*0.475*44/12</f>
        <v>6.7726910571197174E-16</v>
      </c>
      <c r="FT143" s="22">
        <f t="shared" si="132"/>
        <v>2.2647561353660239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1.1368683772161603E-13</v>
      </c>
      <c r="GA143" s="17">
        <f>FZ143*VLOOKUP('Données projet'!$B$17,Paramètres!$A$1:$I$89,3,0)*VLOOKUP('Données projet'!$B$17,Paramètres!$A$1:$I$89,5,0)</f>
        <v>6.7984728957526396E-14</v>
      </c>
      <c r="GB143" s="13">
        <f t="shared" si="157"/>
        <v>1.0682447123141398E-12</v>
      </c>
      <c r="GC143" s="20">
        <f t="shared" si="133"/>
        <v>1.978932943548152E-12</v>
      </c>
      <c r="GD143" s="59">
        <f t="shared" si="134"/>
        <v>293.3333333333353</v>
      </c>
      <c r="GE143" s="59">
        <f ca="1">AVERAGE(OFFSET($GD$3,0,0,'Données projet'!$E$17+1,1))-AVERAGE(OFFSET($H$3,0,0,'Données projet'!$E$17+1,1))</f>
        <v>259.30247982593914</v>
      </c>
      <c r="GF143" s="59">
        <f t="shared" si="158"/>
        <v>275.24740346220779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</v>
      </c>
      <c r="GM143" s="21">
        <f>EXP(-LN(2)/25)*GM142+(1-EXP(-LN(2)/25))/(LN(2)/25)*Calculateur!GH143*Calculateur!GJ143*VLOOKUP('Données projet'!$B$17,Paramètres!$A$1:$I$89,3,0)*0.475*44/12</f>
        <v>0.85415426864678357</v>
      </c>
      <c r="GN143" s="21">
        <f>EXP(-LN(2)/2)*GN142+(1-EXP(-LN(2)/2))/(LN(2)/2)*GH143*GK143*VLOOKUP('Données projet'!$B$17,Paramètres!$A$1:$I$89,3,0)*0.475*44/12</f>
        <v>7.9604295882454536E-16</v>
      </c>
      <c r="GO143" s="21">
        <f t="shared" si="135"/>
        <v>0.85415426864678434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5.6843418860808015E-14</v>
      </c>
      <c r="GV143" s="17">
        <f>GU143*VLOOKUP('Données projet'!$B$18,Paramètres!$A$1:$I$89,3,0)*VLOOKUP('Données projet'!$B$18,Paramètres!$A$1:$I$89,5,0)</f>
        <v>4.5224624045658861E-14</v>
      </c>
      <c r="GW143" s="13">
        <f t="shared" si="159"/>
        <v>7.4514601661523691E-13</v>
      </c>
      <c r="GX143" s="20">
        <f t="shared" si="136"/>
        <v>1.3765621991510601E-12</v>
      </c>
      <c r="GY143" s="59">
        <f t="shared" si="137"/>
        <v>293.33333333333468</v>
      </c>
      <c r="GZ143" s="59">
        <f ca="1">AVERAGE(OFFSET($GY$3,0,0,'Données projet'!$E$18+1,1))-AVERAGE(OFFSET($H$3,0,0,'Données projet'!$E$18+1,1))</f>
        <v>199.58763537752952</v>
      </c>
      <c r="HA143" s="59">
        <f t="shared" si="160"/>
        <v>242.62852778451929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0</v>
      </c>
      <c r="HH143" s="21">
        <f>EXP(-LN(2)/25)*HH142+(1-EXP(-LN(2)/25))/(LN(2)/25)*Calculateur!HC143*Calculateur!HE143*VLOOKUP('Données projet'!$B$18,Paramètres!$A$1:$I$89,3,0)*0.475*44/12</f>
        <v>0.48706493086637831</v>
      </c>
      <c r="HI143" s="21">
        <f>EXP(-LN(2)/2)*HI142+(1-EXP(-LN(2)/2))/(LN(2)/2)*HC143*HF143*VLOOKUP('Données projet'!$B$18,Paramètres!$A$1:$I$89,3,0)*0.475*44/12</f>
        <v>2.9869324772502981E-16</v>
      </c>
      <c r="HJ143" s="22">
        <f t="shared" si="138"/>
        <v>0.48706493086637859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-1.0286385077051818E-13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237.22177246688199</v>
      </c>
      <c r="T144" s="59">
        <f t="shared" si="142"/>
        <v>149.27472147904302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0.14309340745347693</v>
      </c>
      <c r="AB144" s="21">
        <f>EXP(-LN(2)/2)*AB143+(1-EXP(-LN(2)/2))/(LN(2)/2)*V144*Y144*VLOOKUP('Données projet'!$B$9,Paramètres!$A$1:$I$89,3,0)*0.475*44/12</f>
        <v>1.2147310488010846E-16</v>
      </c>
      <c r="AC144" s="22">
        <f t="shared" si="111"/>
        <v>0.14309340745347704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-1.1527845344971866E-13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279.20364724206644</v>
      </c>
      <c r="AO144" s="59">
        <f t="shared" si="144"/>
        <v>173.99850582760712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0.16036330145648259</v>
      </c>
      <c r="AW144" s="21">
        <f>EXP(-LN(2)/2)*AW143+(1-EXP(-LN(2)/2))/(LN(2)/2)*AQ144*AT144*VLOOKUP('Données projet'!$B$10,Paramètres!$A$1:$I$89,3,0)*0.475*44/12</f>
        <v>1.3613365202081119E-16</v>
      </c>
      <c r="AX144" s="21">
        <f t="shared" si="114"/>
        <v>0.16036330145648273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-5.3205440053716299E-14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215.23235148064941</v>
      </c>
      <c r="BJ144" s="59">
        <f t="shared" si="146"/>
        <v>184.07239726900434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0.34792405081917671</v>
      </c>
      <c r="BQ144" s="21">
        <f>EXP(-LN(2)/25)*BQ143+(1-EXP(-LN(2)/25))/(LN(2)/25)*Calculateur!BL144*Calculateur!BN144*VLOOKUP('Données projet'!$B$11,Paramètres!$A$1:$I$89,3,0)*0.475*44/12</f>
        <v>0.36190841514436689</v>
      </c>
      <c r="BR144" s="21">
        <f>EXP(-LN(2)/2)*BR143+(1-EXP(-LN(2)/2))/(LN(2)/2)*BL144*BO144*VLOOKUP('Données projet'!$B$11,Paramètres!$A$1:$I$89,3,0)*0.475*44/12</f>
        <v>1.92967826802009E-16</v>
      </c>
      <c r="BS144" s="22">
        <f t="shared" si="117"/>
        <v>0.70983246596354377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-1.223725121235475E-13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303.1504619632214</v>
      </c>
      <c r="CE144" s="59">
        <f t="shared" si="148"/>
        <v>188.09929616366503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0.17023181231534321</v>
      </c>
      <c r="CM144" s="21">
        <f>EXP(-LN(2)/2)*CM143+(1-EXP(-LN(2)/2))/(LN(2)/2)*CG144*CJ144*VLOOKUP('Données projet'!$B$12,Paramètres!$A$1:$I$89,3,0)*0.475*44/12</f>
        <v>1.4451110752978446E-16</v>
      </c>
      <c r="CN144" s="22">
        <f t="shared" si="120"/>
        <v>0.17023181231534334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5.6843418860808015E-14</v>
      </c>
      <c r="CU144" s="17">
        <f>CT144*VLOOKUP('Données projet'!$B$13,Paramètres!$A$1:$I$89,3,0)*VLOOKUP('Données projet'!$B$13,Paramètres!$A$1:$I$89,5,0)</f>
        <v>3.813056537183002E-14</v>
      </c>
      <c r="CV144" s="13">
        <f t="shared" si="149"/>
        <v>6.4086286045526829E-13</v>
      </c>
      <c r="CW144" s="20">
        <f t="shared" si="121"/>
        <v>1.1825802166488628E-12</v>
      </c>
      <c r="CX144" s="59">
        <f t="shared" si="122"/>
        <v>293.33333333333451</v>
      </c>
      <c r="CY144" s="59">
        <f ca="1">AVERAGE(OFFSET($CX$3,0,0,'Données projet'!$E$13+1,1))-AVERAGE(OFFSET($H$3,0,0,'Données projet'!$E$13+1,1))</f>
        <v>156.63226020379989</v>
      </c>
      <c r="CZ144" s="59">
        <f t="shared" si="150"/>
        <v>196.0481096619543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0.39943299868397775</v>
      </c>
      <c r="DH144" s="21">
        <f>EXP(-LN(2)/2)*DH143+(1-EXP(-LN(2)/2))/(LN(2)/2)*DB144*DE144*VLOOKUP('Données projet'!$B$13,Paramètres!$A$1:$I$89,3,0)*0.475*44/12</f>
        <v>1.7807735100633476E-16</v>
      </c>
      <c r="DI144" s="22">
        <f t="shared" si="123"/>
        <v>0.39943299868397791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-8.5265128291212022E-14</v>
      </c>
      <c r="DP144" s="17">
        <f>DO144*VLOOKUP('Données projet'!$B$14,Paramètres!$A$1:$I$89,3,0)*VLOOKUP('Données projet'!$B$14,Paramètres!$A$1:$I$89,5,0)</f>
        <v>-7.7147888077888636E-14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225.28075317732998</v>
      </c>
      <c r="DU144" s="59">
        <f t="shared" si="152"/>
        <v>358.43407531256207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0.2490207903204055</v>
      </c>
      <c r="EB144" s="21">
        <f>EXP(-LN(2)/25)*EB143+(1-EXP(-LN(2)/25))/(LN(2)/25)*Calculateur!DW144*Calculateur!DY144*VLOOKUP('Données projet'!$B$14,Paramètres!$A$1:$I$89,3,0)*0.475*44/12</f>
        <v>0.38110120397192182</v>
      </c>
      <c r="EC144" s="21">
        <f>EXP(-LN(2)/2)*EC143+(1-EXP(-LN(2)/2))/(LN(2)/2)*DW144*DZ144*VLOOKUP('Données projet'!$B$14,Paramètres!$A$1:$I$89,3,0)*0.475*44/12</f>
        <v>8.6630265813557469E-17</v>
      </c>
      <c r="ED144" s="22">
        <f t="shared" si="126"/>
        <v>0.6301219942923274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-5.6843418860808015E-13</v>
      </c>
      <c r="EK144" s="17">
        <f>EJ144*VLOOKUP('Données projet'!$B$15,Paramètres!$A$1:$I$89,3,0)*VLOOKUP('Données projet'!$B$15,Paramètres!$A$1:$I$89,5,0)</f>
        <v>-3.177547114319168E-13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326.31232746914907</v>
      </c>
      <c r="EP144" s="59">
        <f t="shared" si="154"/>
        <v>330.17137761430297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0.5070207663837919</v>
      </c>
      <c r="EW144" s="21">
        <f>EXP(-LN(2)/25)*EW143+(1-EXP(-LN(2)/25))/(LN(2)/25)*Calculateur!ER144*Calculateur!ET144*VLOOKUP('Données projet'!$B$15,Paramètres!$A$1:$I$89,3,0)*0.475*44/12</f>
        <v>1.3900952758505949</v>
      </c>
      <c r="EX144" s="21">
        <f>EXP(-LN(2)/2)*EX143+(1-EXP(-LN(2)/2))/(LN(2)/2)*ER144*EU144*VLOOKUP('Données projet'!$B$15,Paramètres!$A$1:$I$89,3,0)*0.475*44/12</f>
        <v>6.3828357113834595E-16</v>
      </c>
      <c r="EY144" s="22">
        <f t="shared" si="129"/>
        <v>1.8971160422343873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255.41017495879987</v>
      </c>
      <c r="FK144" s="59">
        <f t="shared" si="156"/>
        <v>297.50513563712764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0.92614364092092172</v>
      </c>
      <c r="FR144" s="21">
        <f>EXP(-LN(2)/25)*FR143+(1-EXP(-LN(2)/25))/(LN(2)/25)*Calculateur!FM144*Calculateur!FO144*VLOOKUP('Données projet'!$B$16,Paramètres!$A$1:$I$89,3,0)*0.475*44/12</f>
        <v>1.2839902517069064</v>
      </c>
      <c r="FS144" s="21">
        <f>EXP(-LN(2)/2)*FS143+(1-EXP(-LN(2)/2))/(LN(2)/2)*FM144*FP144*VLOOKUP('Données projet'!$B$16,Paramètres!$A$1:$I$89,3,0)*0.475*44/12</f>
        <v>4.7890157733708392E-16</v>
      </c>
      <c r="FT144" s="22">
        <f t="shared" si="132"/>
        <v>2.2101338926278284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1.1368683772161603E-13</v>
      </c>
      <c r="GA144" s="17">
        <f>FZ144*VLOOKUP('Données projet'!$B$17,Paramètres!$A$1:$I$89,3,0)*VLOOKUP('Données projet'!$B$17,Paramètres!$A$1:$I$89,5,0)</f>
        <v>6.7984728957526396E-14</v>
      </c>
      <c r="GB144" s="13">
        <f t="shared" si="157"/>
        <v>1.0682447123141398E-12</v>
      </c>
      <c r="GC144" s="20">
        <f t="shared" si="133"/>
        <v>1.978932943548152E-12</v>
      </c>
      <c r="GD144" s="59">
        <f t="shared" si="134"/>
        <v>293.3333333333353</v>
      </c>
      <c r="GE144" s="59">
        <f ca="1">AVERAGE(OFFSET($GD$3,0,0,'Données projet'!$E$17+1,1))-AVERAGE(OFFSET($H$3,0,0,'Données projet'!$E$17+1,1))</f>
        <v>259.30247982593914</v>
      </c>
      <c r="GF144" s="59">
        <f t="shared" si="158"/>
        <v>275.24740346220779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</v>
      </c>
      <c r="GM144" s="21">
        <f>EXP(-LN(2)/25)*GM143+(1-EXP(-LN(2)/25))/(LN(2)/25)*Calculateur!GH144*Calculateur!GJ144*VLOOKUP('Données projet'!$B$17,Paramètres!$A$1:$I$89,3,0)*0.475*44/12</f>
        <v>0.83079737525261643</v>
      </c>
      <c r="GN144" s="21">
        <f>EXP(-LN(2)/2)*GN143+(1-EXP(-LN(2)/2))/(LN(2)/2)*GH144*GK144*VLOOKUP('Données projet'!$B$17,Paramètres!$A$1:$I$89,3,0)*0.475*44/12</f>
        <v>5.6288737430063965E-16</v>
      </c>
      <c r="GO144" s="21">
        <f t="shared" si="135"/>
        <v>0.83079737525261699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5.6843418860808015E-14</v>
      </c>
      <c r="GV144" s="17">
        <f>GU144*VLOOKUP('Données projet'!$B$18,Paramètres!$A$1:$I$89,3,0)*VLOOKUP('Données projet'!$B$18,Paramètres!$A$1:$I$89,5,0)</f>
        <v>4.5224624045658861E-14</v>
      </c>
      <c r="GW144" s="13">
        <f t="shared" si="159"/>
        <v>7.4514601661523691E-13</v>
      </c>
      <c r="GX144" s="20">
        <f t="shared" si="136"/>
        <v>1.3765621991510601E-12</v>
      </c>
      <c r="GY144" s="59">
        <f t="shared" si="137"/>
        <v>293.33333333333468</v>
      </c>
      <c r="GZ144" s="59">
        <f ca="1">AVERAGE(OFFSET($GY$3,0,0,'Données projet'!$E$18+1,1))-AVERAGE(OFFSET($H$3,0,0,'Données projet'!$E$18+1,1))</f>
        <v>199.58763537752952</v>
      </c>
      <c r="HA144" s="59">
        <f t="shared" si="160"/>
        <v>242.62852778451929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0</v>
      </c>
      <c r="HH144" s="21">
        <f>EXP(-LN(2)/25)*HH143+(1-EXP(-LN(2)/25))/(LN(2)/25)*Calculateur!HC144*Calculateur!HE144*VLOOKUP('Données projet'!$B$18,Paramètres!$A$1:$I$89,3,0)*0.475*44/12</f>
        <v>0.47374611471820566</v>
      </c>
      <c r="HI144" s="21">
        <f>EXP(-LN(2)/2)*HI143+(1-EXP(-LN(2)/2))/(LN(2)/2)*HC144*HF144*VLOOKUP('Données projet'!$B$18,Paramètres!$A$1:$I$89,3,0)*0.475*44/12</f>
        <v>2.1120802096100189E-16</v>
      </c>
      <c r="HJ144" s="22">
        <f t="shared" si="138"/>
        <v>0.47374611471820588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-1.0286385077051818E-13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237.22177246688199</v>
      </c>
      <c r="T145" s="59">
        <f t="shared" si="142"/>
        <v>149.27472147904302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0.13918051070170634</v>
      </c>
      <c r="AB145" s="21">
        <f>EXP(-LN(2)/2)*AB144+(1-EXP(-LN(2)/2))/(LN(2)/2)*V145*Y145*VLOOKUP('Données projet'!$B$9,Paramètres!$A$1:$I$89,3,0)*0.475*44/12</f>
        <v>8.5894456192509395E-17</v>
      </c>
      <c r="AC145" s="22">
        <f t="shared" si="111"/>
        <v>0.13918051070170642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-1.1527845344971866E-13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279.20364724206644</v>
      </c>
      <c r="AO145" s="59">
        <f t="shared" si="144"/>
        <v>173.99850582760712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0.15597815854501557</v>
      </c>
      <c r="AW145" s="21">
        <f>EXP(-LN(2)/2)*AW144+(1-EXP(-LN(2)/2))/(LN(2)/2)*AQ145*AT145*VLOOKUP('Données projet'!$B$10,Paramètres!$A$1:$I$89,3,0)*0.475*44/12</f>
        <v>9.6261028491605342E-17</v>
      </c>
      <c r="AX145" s="21">
        <f t="shared" si="114"/>
        <v>0.15597815854501565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-5.3205440053716299E-14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215.23235148064941</v>
      </c>
      <c r="BJ145" s="59">
        <f t="shared" si="146"/>
        <v>184.07239726900434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0.3411014723953294</v>
      </c>
      <c r="BQ145" s="21">
        <f>EXP(-LN(2)/25)*BQ144+(1-EXP(-LN(2)/25))/(LN(2)/25)*Calculateur!BL145*Calculateur!BN145*VLOOKUP('Données projet'!$B$11,Paramètres!$A$1:$I$89,3,0)*0.475*44/12</f>
        <v>0.35201201050030778</v>
      </c>
      <c r="BR145" s="21">
        <f>EXP(-LN(2)/2)*BR144+(1-EXP(-LN(2)/2))/(LN(2)/2)*BL145*BO145*VLOOKUP('Données projet'!$B$11,Paramètres!$A$1:$I$89,3,0)*0.475*44/12</f>
        <v>1.3644885888253177E-16</v>
      </c>
      <c r="BS145" s="22">
        <f t="shared" si="117"/>
        <v>0.69311348289563723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-1.223725121235475E-13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303.1504619632214</v>
      </c>
      <c r="CE145" s="59">
        <f t="shared" si="148"/>
        <v>188.09929616366503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0.1655768144554782</v>
      </c>
      <c r="CM145" s="21">
        <f>EXP(-LN(2)/2)*CM144+(1-EXP(-LN(2)/2))/(LN(2)/2)*CG145*CJ145*VLOOKUP('Données projet'!$B$12,Paramètres!$A$1:$I$89,3,0)*0.475*44/12</f>
        <v>1.0218478409108894E-16</v>
      </c>
      <c r="CN145" s="22">
        <f t="shared" si="120"/>
        <v>0.16557681445547831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5.6843418860808015E-14</v>
      </c>
      <c r="CU145" s="17">
        <f>CT145*VLOOKUP('Données projet'!$B$13,Paramètres!$A$1:$I$89,3,0)*VLOOKUP('Données projet'!$B$13,Paramètres!$A$1:$I$89,5,0)</f>
        <v>3.813056537183002E-14</v>
      </c>
      <c r="CV145" s="13">
        <f t="shared" si="149"/>
        <v>6.4086286045526829E-13</v>
      </c>
      <c r="CW145" s="20">
        <f t="shared" si="121"/>
        <v>1.1825802166488628E-12</v>
      </c>
      <c r="CX145" s="59">
        <f t="shared" si="122"/>
        <v>293.33333333333451</v>
      </c>
      <c r="CY145" s="59">
        <f ca="1">AVERAGE(OFFSET($CX$3,0,0,'Données projet'!$E$13+1,1))-AVERAGE(OFFSET($H$3,0,0,'Données projet'!$E$13+1,1))</f>
        <v>156.63226020379989</v>
      </c>
      <c r="CZ145" s="59">
        <f t="shared" si="150"/>
        <v>196.0481096619543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0.38851048232969587</v>
      </c>
      <c r="DH145" s="21">
        <f>EXP(-LN(2)/2)*DH144+(1-EXP(-LN(2)/2))/(LN(2)/2)*DB145*DE145*VLOOKUP('Données projet'!$B$13,Paramètres!$A$1:$I$89,3,0)*0.475*44/12</f>
        <v>1.2591970247231637E-16</v>
      </c>
      <c r="DI145" s="22">
        <f t="shared" si="123"/>
        <v>0.38851048232969598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-8.5265128291212022E-14</v>
      </c>
      <c r="DP145" s="17">
        <f>DO145*VLOOKUP('Données projet'!$B$14,Paramètres!$A$1:$I$89,3,0)*VLOOKUP('Données projet'!$B$14,Paramètres!$A$1:$I$89,5,0)</f>
        <v>-7.7147888077888636E-14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225.28075317732998</v>
      </c>
      <c r="DU145" s="59">
        <f t="shared" si="152"/>
        <v>358.43407531256207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0.24413764450990677</v>
      </c>
      <c r="EB145" s="21">
        <f>EXP(-LN(2)/25)*EB144+(1-EXP(-LN(2)/25))/(LN(2)/25)*Calculateur!DW145*Calculateur!DY145*VLOOKUP('Données projet'!$B$14,Paramètres!$A$1:$I$89,3,0)*0.475*44/12</f>
        <v>0.37067997150806831</v>
      </c>
      <c r="EC145" s="21">
        <f>EXP(-LN(2)/2)*EC144+(1-EXP(-LN(2)/2))/(LN(2)/2)*DW145*DZ145*VLOOKUP('Données projet'!$B$14,Paramètres!$A$1:$I$89,3,0)*0.475*44/12</f>
        <v>6.125684841275963E-17</v>
      </c>
      <c r="ED145" s="22">
        <f t="shared" si="126"/>
        <v>0.61481761601797513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-5.6843418860808015E-13</v>
      </c>
      <c r="EK145" s="17">
        <f>EJ145*VLOOKUP('Données projet'!$B$15,Paramètres!$A$1:$I$89,3,0)*VLOOKUP('Données projet'!$B$15,Paramètres!$A$1:$I$89,5,0)</f>
        <v>-3.177547114319168E-13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326.31232746914907</v>
      </c>
      <c r="EP145" s="59">
        <f t="shared" si="154"/>
        <v>330.17137761430297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0.49707839840713713</v>
      </c>
      <c r="EW145" s="21">
        <f>EXP(-LN(2)/25)*EW144+(1-EXP(-LN(2)/25))/(LN(2)/25)*Calculateur!ER145*Calculateur!ET145*VLOOKUP('Données projet'!$B$15,Paramètres!$A$1:$I$89,3,0)*0.475*44/12</f>
        <v>1.352083047430527</v>
      </c>
      <c r="EX145" s="21">
        <f>EXP(-LN(2)/2)*EX144+(1-EXP(-LN(2)/2))/(LN(2)/2)*ER145*EU145*VLOOKUP('Données projet'!$B$15,Paramètres!$A$1:$I$89,3,0)*0.475*44/12</f>
        <v>4.5133464147189053E-16</v>
      </c>
      <c r="EY145" s="22">
        <f t="shared" si="129"/>
        <v>1.8491614458376646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255.41017495879987</v>
      </c>
      <c r="FK145" s="59">
        <f t="shared" si="156"/>
        <v>297.50513563712764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0.90798252901430498</v>
      </c>
      <c r="FR145" s="21">
        <f>EXP(-LN(2)/25)*FR144+(1-EXP(-LN(2)/25))/(LN(2)/25)*Calculateur!FM145*Calculateur!FO145*VLOOKUP('Données projet'!$B$16,Paramètres!$A$1:$I$89,3,0)*0.475*44/12</f>
        <v>1.2488794707518682</v>
      </c>
      <c r="FS145" s="21">
        <f>EXP(-LN(2)/2)*FS144+(1-EXP(-LN(2)/2))/(LN(2)/2)*FM145*FP145*VLOOKUP('Données projet'!$B$16,Paramètres!$A$1:$I$89,3,0)*0.475*44/12</f>
        <v>3.3863455285598587E-16</v>
      </c>
      <c r="FT145" s="22">
        <f t="shared" si="132"/>
        <v>2.1568619997661735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1.1368683772161603E-13</v>
      </c>
      <c r="GA145" s="17">
        <f>FZ145*VLOOKUP('Données projet'!$B$17,Paramètres!$A$1:$I$89,3,0)*VLOOKUP('Données projet'!$B$17,Paramètres!$A$1:$I$89,5,0)</f>
        <v>6.7984728957526396E-14</v>
      </c>
      <c r="GB145" s="13">
        <f t="shared" si="157"/>
        <v>1.0682447123141398E-12</v>
      </c>
      <c r="GC145" s="20">
        <f t="shared" si="133"/>
        <v>1.978932943548152E-12</v>
      </c>
      <c r="GD145" s="59">
        <f t="shared" si="134"/>
        <v>293.3333333333353</v>
      </c>
      <c r="GE145" s="59">
        <f ca="1">AVERAGE(OFFSET($GD$3,0,0,'Données projet'!$E$17+1,1))-AVERAGE(OFFSET($H$3,0,0,'Données projet'!$E$17+1,1))</f>
        <v>259.30247982593914</v>
      </c>
      <c r="GF145" s="59">
        <f t="shared" si="158"/>
        <v>275.24740346220779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</v>
      </c>
      <c r="GM145" s="21">
        <f>EXP(-LN(2)/25)*GM144+(1-EXP(-LN(2)/25))/(LN(2)/25)*Calculateur!GH145*Calculateur!GJ145*VLOOKUP('Données projet'!$B$17,Paramètres!$A$1:$I$89,3,0)*0.475*44/12</f>
        <v>0.80807917733659851</v>
      </c>
      <c r="GN145" s="21">
        <f>EXP(-LN(2)/2)*GN144+(1-EXP(-LN(2)/2))/(LN(2)/2)*GH145*GK145*VLOOKUP('Données projet'!$B$17,Paramètres!$A$1:$I$89,3,0)*0.475*44/12</f>
        <v>3.9802147941227268E-16</v>
      </c>
      <c r="GO145" s="21">
        <f t="shared" si="135"/>
        <v>0.80807917733659895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5.6843418860808015E-14</v>
      </c>
      <c r="GV145" s="17">
        <f>GU145*VLOOKUP('Données projet'!$B$18,Paramètres!$A$1:$I$89,3,0)*VLOOKUP('Données projet'!$B$18,Paramètres!$A$1:$I$89,5,0)</f>
        <v>4.5224624045658861E-14</v>
      </c>
      <c r="GW145" s="13">
        <f t="shared" si="159"/>
        <v>7.4514601661523691E-13</v>
      </c>
      <c r="GX145" s="20">
        <f t="shared" si="136"/>
        <v>1.3765621991510601E-12</v>
      </c>
      <c r="GY145" s="59">
        <f t="shared" si="137"/>
        <v>293.33333333333468</v>
      </c>
      <c r="GZ145" s="59">
        <f ca="1">AVERAGE(OFFSET($GY$3,0,0,'Données projet'!$E$18+1,1))-AVERAGE(OFFSET($H$3,0,0,'Données projet'!$E$18+1,1))</f>
        <v>199.58763537752952</v>
      </c>
      <c r="HA145" s="59">
        <f t="shared" si="160"/>
        <v>242.62852778451929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0</v>
      </c>
      <c r="HH145" s="21">
        <f>EXP(-LN(2)/25)*HH144+(1-EXP(-LN(2)/25))/(LN(2)/25)*Calculateur!HC145*Calculateur!HE145*VLOOKUP('Données projet'!$B$18,Paramètres!$A$1:$I$89,3,0)*0.475*44/12</f>
        <v>0.46079150229801091</v>
      </c>
      <c r="HI145" s="21">
        <f>EXP(-LN(2)/2)*HI144+(1-EXP(-LN(2)/2))/(LN(2)/2)*HC145*HF145*VLOOKUP('Données projet'!$B$18,Paramètres!$A$1:$I$89,3,0)*0.475*44/12</f>
        <v>1.493466238625149E-16</v>
      </c>
      <c r="HJ145" s="22">
        <f t="shared" si="138"/>
        <v>0.46079150229801108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-1.0286385077051818E-13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237.22177246688199</v>
      </c>
      <c r="T146" s="59">
        <f t="shared" si="142"/>
        <v>149.27472147904302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0.13537461231738324</v>
      </c>
      <c r="AB146" s="21">
        <f>EXP(-LN(2)/2)*AB145+(1-EXP(-LN(2)/2))/(LN(2)/2)*V146*Y146*VLOOKUP('Données projet'!$B$9,Paramètres!$A$1:$I$89,3,0)*0.475*44/12</f>
        <v>6.0736552440054232E-17</v>
      </c>
      <c r="AC146" s="22">
        <f t="shared" si="111"/>
        <v>0.13537461231738329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-1.1527845344971866E-13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279.20364724206644</v>
      </c>
      <c r="AO146" s="59">
        <f t="shared" si="144"/>
        <v>173.99850582760712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0.15171292759706725</v>
      </c>
      <c r="AW146" s="21">
        <f>EXP(-LN(2)/2)*AW145+(1-EXP(-LN(2)/2))/(LN(2)/2)*AQ146*AT146*VLOOKUP('Données projet'!$B$10,Paramètres!$A$1:$I$89,3,0)*0.475*44/12</f>
        <v>6.8066826010405595E-17</v>
      </c>
      <c r="AX146" s="21">
        <f t="shared" si="114"/>
        <v>0.15171292759706731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-5.3205440053716299E-14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215.23235148064941</v>
      </c>
      <c r="BJ146" s="59">
        <f t="shared" si="146"/>
        <v>184.07239726900434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0.33441268057301177</v>
      </c>
      <c r="BQ146" s="21">
        <f>EXP(-LN(2)/25)*BQ145+(1-EXP(-LN(2)/25))/(LN(2)/25)*Calculateur!BL146*Calculateur!BN146*VLOOKUP('Données projet'!$B$11,Paramètres!$A$1:$I$89,3,0)*0.475*44/12</f>
        <v>0.34238622356166976</v>
      </c>
      <c r="BR146" s="21">
        <f>EXP(-LN(2)/2)*BR145+(1-EXP(-LN(2)/2))/(LN(2)/2)*BL146*BO146*VLOOKUP('Données projet'!$B$11,Paramètres!$A$1:$I$89,3,0)*0.475*44/12</f>
        <v>9.6483913401004499E-17</v>
      </c>
      <c r="BS146" s="22">
        <f t="shared" si="117"/>
        <v>0.67679890413468169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-1.223725121235475E-13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303.1504619632214</v>
      </c>
      <c r="CE146" s="59">
        <f t="shared" si="148"/>
        <v>188.09929616366503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0.16104910775688691</v>
      </c>
      <c r="CM146" s="21">
        <f>EXP(-LN(2)/2)*CM145+(1-EXP(-LN(2)/2))/(LN(2)/2)*CG146*CJ146*VLOOKUP('Données projet'!$B$12,Paramètres!$A$1:$I$89,3,0)*0.475*44/12</f>
        <v>7.2255553764892229E-17</v>
      </c>
      <c r="CN146" s="22">
        <f t="shared" si="120"/>
        <v>0.16104910775688699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5.6843418860808015E-14</v>
      </c>
      <c r="CU146" s="17">
        <f>CT146*VLOOKUP('Données projet'!$B$13,Paramètres!$A$1:$I$89,3,0)*VLOOKUP('Données projet'!$B$13,Paramètres!$A$1:$I$89,5,0)</f>
        <v>3.813056537183002E-14</v>
      </c>
      <c r="CV146" s="13">
        <f t="shared" si="149"/>
        <v>6.4086286045526829E-13</v>
      </c>
      <c r="CW146" s="20">
        <f t="shared" si="121"/>
        <v>1.1825802166488628E-12</v>
      </c>
      <c r="CX146" s="59">
        <f t="shared" si="122"/>
        <v>293.33333333333451</v>
      </c>
      <c r="CY146" s="59">
        <f ca="1">AVERAGE(OFFSET($CX$3,0,0,'Données projet'!$E$13+1,1))-AVERAGE(OFFSET($H$3,0,0,'Données projet'!$E$13+1,1))</f>
        <v>156.63226020379989</v>
      </c>
      <c r="CZ146" s="59">
        <f t="shared" si="150"/>
        <v>196.0481096619543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0.377886642759512</v>
      </c>
      <c r="DH146" s="21">
        <f>EXP(-LN(2)/2)*DH145+(1-EXP(-LN(2)/2))/(LN(2)/2)*DB146*DE146*VLOOKUP('Données projet'!$B$13,Paramètres!$A$1:$I$89,3,0)*0.475*44/12</f>
        <v>8.9038675503167378E-17</v>
      </c>
      <c r="DI146" s="22">
        <f t="shared" si="123"/>
        <v>0.37788664275951211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-8.5265128291212022E-14</v>
      </c>
      <c r="DP146" s="17">
        <f>DO146*VLOOKUP('Données projet'!$B$14,Paramètres!$A$1:$I$89,3,0)*VLOOKUP('Données projet'!$B$14,Paramètres!$A$1:$I$89,5,0)</f>
        <v>-7.7147888077888636E-14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225.28075317732998</v>
      </c>
      <c r="DU146" s="59">
        <f t="shared" si="152"/>
        <v>358.43407531256207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0.23935025421032707</v>
      </c>
      <c r="EB146" s="21">
        <f>EXP(-LN(2)/25)*EB145+(1-EXP(-LN(2)/25))/(LN(2)/25)*Calculateur!DW146*Calculateur!DY146*VLOOKUP('Données projet'!$B$14,Paramètres!$A$1:$I$89,3,0)*0.475*44/12</f>
        <v>0.36054370819396769</v>
      </c>
      <c r="EC146" s="21">
        <f>EXP(-LN(2)/2)*EC145+(1-EXP(-LN(2)/2))/(LN(2)/2)*DW146*DZ146*VLOOKUP('Données projet'!$B$14,Paramètres!$A$1:$I$89,3,0)*0.475*44/12</f>
        <v>4.3315132906778735E-17</v>
      </c>
      <c r="ED146" s="22">
        <f t="shared" si="126"/>
        <v>0.59989396240429471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-5.6843418860808015E-13</v>
      </c>
      <c r="EK146" s="17">
        <f>EJ146*VLOOKUP('Données projet'!$B$15,Paramètres!$A$1:$I$89,3,0)*VLOOKUP('Données projet'!$B$15,Paramètres!$A$1:$I$89,5,0)</f>
        <v>-3.177547114319168E-13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326.31232746914907</v>
      </c>
      <c r="EP146" s="59">
        <f t="shared" si="154"/>
        <v>330.17137761430297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0.48733099420225889</v>
      </c>
      <c r="EW146" s="21">
        <f>EXP(-LN(2)/25)*EW145+(1-EXP(-LN(2)/25))/(LN(2)/25)*Calculateur!ER146*Calculateur!ET146*VLOOKUP('Données projet'!$B$15,Paramètres!$A$1:$I$89,3,0)*0.475*44/12</f>
        <v>1.315110265395582</v>
      </c>
      <c r="EX146" s="21">
        <f>EXP(-LN(2)/2)*EX145+(1-EXP(-LN(2)/2))/(LN(2)/2)*ER146*EU146*VLOOKUP('Données projet'!$B$15,Paramètres!$A$1:$I$89,3,0)*0.475*44/12</f>
        <v>3.1914178556917297E-16</v>
      </c>
      <c r="EY146" s="22">
        <f t="shared" si="129"/>
        <v>1.8024412595978412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255.41017495879987</v>
      </c>
      <c r="FK146" s="59">
        <f t="shared" si="156"/>
        <v>297.50513563712764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0.8901775454349925</v>
      </c>
      <c r="FR146" s="21">
        <f>EXP(-LN(2)/25)*FR145+(1-EXP(-LN(2)/25))/(LN(2)/25)*Calculateur!FM146*Calculateur!FO146*VLOOKUP('Données projet'!$B$16,Paramètres!$A$1:$I$89,3,0)*0.475*44/12</f>
        <v>1.2147287959484414</v>
      </c>
      <c r="FS146" s="21">
        <f>EXP(-LN(2)/2)*FS145+(1-EXP(-LN(2)/2))/(LN(2)/2)*FM146*FP146*VLOOKUP('Données projet'!$B$16,Paramètres!$A$1:$I$89,3,0)*0.475*44/12</f>
        <v>2.3945078866854196E-16</v>
      </c>
      <c r="FT146" s="22">
        <f t="shared" si="132"/>
        <v>2.1049063413834346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1.1368683772161603E-13</v>
      </c>
      <c r="GA146" s="17">
        <f>FZ146*VLOOKUP('Données projet'!$B$17,Paramètres!$A$1:$I$89,3,0)*VLOOKUP('Données projet'!$B$17,Paramètres!$A$1:$I$89,5,0)</f>
        <v>6.7984728957526396E-14</v>
      </c>
      <c r="GB146" s="13">
        <f t="shared" si="157"/>
        <v>1.0682447123141398E-12</v>
      </c>
      <c r="GC146" s="20">
        <f t="shared" si="133"/>
        <v>1.978932943548152E-12</v>
      </c>
      <c r="GD146" s="59">
        <f t="shared" si="134"/>
        <v>293.3333333333353</v>
      </c>
      <c r="GE146" s="59">
        <f ca="1">AVERAGE(OFFSET($GD$3,0,0,'Données projet'!$E$17+1,1))-AVERAGE(OFFSET($H$3,0,0,'Données projet'!$E$17+1,1))</f>
        <v>259.30247982593914</v>
      </c>
      <c r="GF146" s="59">
        <f t="shared" si="158"/>
        <v>275.24740346220779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</v>
      </c>
      <c r="GM146" s="21">
        <f>EXP(-LN(2)/25)*GM145+(1-EXP(-LN(2)/25))/(LN(2)/25)*Calculateur!GH146*Calculateur!GJ146*VLOOKUP('Données projet'!$B$17,Paramètres!$A$1:$I$89,3,0)*0.475*44/12</f>
        <v>0.78598220973729216</v>
      </c>
      <c r="GN146" s="21">
        <f>EXP(-LN(2)/2)*GN145+(1-EXP(-LN(2)/2))/(LN(2)/2)*GH146*GK146*VLOOKUP('Données projet'!$B$17,Paramètres!$A$1:$I$89,3,0)*0.475*44/12</f>
        <v>2.8144368715031982E-16</v>
      </c>
      <c r="GO146" s="21">
        <f t="shared" si="135"/>
        <v>0.78598220973729249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5.6843418860808015E-14</v>
      </c>
      <c r="GV146" s="17">
        <f>GU146*VLOOKUP('Données projet'!$B$18,Paramètres!$A$1:$I$89,3,0)*VLOOKUP('Données projet'!$B$18,Paramètres!$A$1:$I$89,5,0)</f>
        <v>4.5224624045658861E-14</v>
      </c>
      <c r="GW146" s="13">
        <f t="shared" si="159"/>
        <v>7.4514601661523691E-13</v>
      </c>
      <c r="GX146" s="20">
        <f t="shared" si="136"/>
        <v>1.3765621991510601E-12</v>
      </c>
      <c r="GY146" s="59">
        <f t="shared" si="137"/>
        <v>293.33333333333468</v>
      </c>
      <c r="GZ146" s="59">
        <f ca="1">AVERAGE(OFFSET($GY$3,0,0,'Données projet'!$E$18+1,1))-AVERAGE(OFFSET($H$3,0,0,'Données projet'!$E$18+1,1))</f>
        <v>199.58763537752952</v>
      </c>
      <c r="HA146" s="59">
        <f t="shared" si="160"/>
        <v>242.62852778451929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0</v>
      </c>
      <c r="HH146" s="21">
        <f>EXP(-LN(2)/25)*HH145+(1-EXP(-LN(2)/25))/(LN(2)/25)*Calculateur!HC146*Calculateur!HE146*VLOOKUP('Données projet'!$B$18,Paramètres!$A$1:$I$89,3,0)*0.475*44/12</f>
        <v>0.44819113443569986</v>
      </c>
      <c r="HI146" s="21">
        <f>EXP(-LN(2)/2)*HI145+(1-EXP(-LN(2)/2))/(LN(2)/2)*HC146*HF146*VLOOKUP('Données projet'!$B$18,Paramètres!$A$1:$I$89,3,0)*0.475*44/12</f>
        <v>1.0560401048050094E-16</v>
      </c>
      <c r="HJ146" s="22">
        <f t="shared" si="138"/>
        <v>0.44819113443569997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-1.0286385077051818E-13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237.22177246688199</v>
      </c>
      <c r="T147" s="59">
        <f t="shared" si="142"/>
        <v>149.27472147904302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0.13167278642452293</v>
      </c>
      <c r="AB147" s="21">
        <f>EXP(-LN(2)/2)*AB146+(1-EXP(-LN(2)/2))/(LN(2)/2)*V147*Y147*VLOOKUP('Données projet'!$B$9,Paramètres!$A$1:$I$89,3,0)*0.475*44/12</f>
        <v>4.2947228096254698E-17</v>
      </c>
      <c r="AC147" s="22">
        <f t="shared" si="111"/>
        <v>0.13167278642452299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-1.1527845344971866E-13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279.20364724206644</v>
      </c>
      <c r="AO147" s="59">
        <f t="shared" si="144"/>
        <v>173.99850582760712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0.14756432961368934</v>
      </c>
      <c r="AW147" s="21">
        <f>EXP(-LN(2)/2)*AW146+(1-EXP(-LN(2)/2))/(LN(2)/2)*AQ147*AT147*VLOOKUP('Données projet'!$B$10,Paramètres!$A$1:$I$89,3,0)*0.475*44/12</f>
        <v>4.8130514245802671E-17</v>
      </c>
      <c r="AX147" s="21">
        <f t="shared" si="114"/>
        <v>0.1475643296136894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-5.3205440053716299E-14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215.23235148064941</v>
      </c>
      <c r="BJ147" s="59">
        <f t="shared" si="146"/>
        <v>184.07239726900434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0.32785505187856961</v>
      </c>
      <c r="BQ147" s="21">
        <f>EXP(-LN(2)/25)*BQ146+(1-EXP(-LN(2)/25))/(LN(2)/25)*Calculateur!BL147*Calculateur!BN147*VLOOKUP('Données projet'!$B$11,Paramètres!$A$1:$I$89,3,0)*0.475*44/12</f>
        <v>0.33302365427306696</v>
      </c>
      <c r="BR147" s="21">
        <f>EXP(-LN(2)/2)*BR146+(1-EXP(-LN(2)/2))/(LN(2)/2)*BL147*BO147*VLOOKUP('Données projet'!$B$11,Paramètres!$A$1:$I$89,3,0)*0.475*44/12</f>
        <v>6.8224429441265887E-17</v>
      </c>
      <c r="BS147" s="22">
        <f t="shared" si="117"/>
        <v>0.66087870615163669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-1.223725121235475E-13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303.1504619632214</v>
      </c>
      <c r="CE147" s="59">
        <f t="shared" si="148"/>
        <v>188.09929616366503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0.15664521143607035</v>
      </c>
      <c r="CM147" s="21">
        <f>EXP(-LN(2)/2)*CM146+(1-EXP(-LN(2)/2))/(LN(2)/2)*CG147*CJ147*VLOOKUP('Données projet'!$B$12,Paramètres!$A$1:$I$89,3,0)*0.475*44/12</f>
        <v>5.109239204554447E-17</v>
      </c>
      <c r="CN147" s="22">
        <f t="shared" si="120"/>
        <v>0.15664521143607041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5.6843418860808015E-14</v>
      </c>
      <c r="CU147" s="17">
        <f>CT147*VLOOKUP('Données projet'!$B$13,Paramètres!$A$1:$I$89,3,0)*VLOOKUP('Données projet'!$B$13,Paramètres!$A$1:$I$89,5,0)</f>
        <v>3.813056537183002E-14</v>
      </c>
      <c r="CV147" s="13">
        <f t="shared" si="149"/>
        <v>6.4086286045526829E-13</v>
      </c>
      <c r="CW147" s="20">
        <f t="shared" si="121"/>
        <v>1.1825802166488628E-12</v>
      </c>
      <c r="CX147" s="59">
        <f t="shared" si="122"/>
        <v>293.33333333333451</v>
      </c>
      <c r="CY147" s="59">
        <f ca="1">AVERAGE(OFFSET($CX$3,0,0,'Données projet'!$E$13+1,1))-AVERAGE(OFFSET($H$3,0,0,'Données projet'!$E$13+1,1))</f>
        <v>156.63226020379989</v>
      </c>
      <c r="CZ147" s="59">
        <f t="shared" si="150"/>
        <v>196.0481096619543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0.36755331264105828</v>
      </c>
      <c r="DH147" s="21">
        <f>EXP(-LN(2)/2)*DH146+(1-EXP(-LN(2)/2))/(LN(2)/2)*DB147*DE147*VLOOKUP('Données projet'!$B$13,Paramètres!$A$1:$I$89,3,0)*0.475*44/12</f>
        <v>6.2959851236158184E-17</v>
      </c>
      <c r="DI147" s="22">
        <f t="shared" si="123"/>
        <v>0.36755331264105834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-8.5265128291212022E-14</v>
      </c>
      <c r="DP147" s="17">
        <f>DO147*VLOOKUP('Données projet'!$B$14,Paramètres!$A$1:$I$89,3,0)*VLOOKUP('Données projet'!$B$14,Paramètres!$A$1:$I$89,5,0)</f>
        <v>-7.7147888077888636E-14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225.28075317732998</v>
      </c>
      <c r="DU147" s="59">
        <f t="shared" si="152"/>
        <v>358.43407531256207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0.23465674171450238</v>
      </c>
      <c r="EB147" s="21">
        <f>EXP(-LN(2)/25)*EB146+(1-EXP(-LN(2)/25))/(LN(2)/25)*Calculateur!DW147*Calculateur!DY147*VLOOKUP('Données projet'!$B$14,Paramètres!$A$1:$I$89,3,0)*0.475*44/12</f>
        <v>0.35068462153323404</v>
      </c>
      <c r="EC147" s="21">
        <f>EXP(-LN(2)/2)*EC146+(1-EXP(-LN(2)/2))/(LN(2)/2)*DW147*DZ147*VLOOKUP('Données projet'!$B$14,Paramètres!$A$1:$I$89,3,0)*0.475*44/12</f>
        <v>3.0628424206379815E-17</v>
      </c>
      <c r="ED147" s="22">
        <f t="shared" si="126"/>
        <v>0.58534136324773645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-5.6843418860808015E-13</v>
      </c>
      <c r="EK147" s="17">
        <f>EJ147*VLOOKUP('Données projet'!$B$15,Paramètres!$A$1:$I$89,3,0)*VLOOKUP('Données projet'!$B$15,Paramètres!$A$1:$I$89,5,0)</f>
        <v>-3.177547114319168E-13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326.31232746914907</v>
      </c>
      <c r="EP147" s="59">
        <f t="shared" si="154"/>
        <v>330.17137761430297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0.47777473064850878</v>
      </c>
      <c r="EW147" s="21">
        <f>EXP(-LN(2)/25)*EW146+(1-EXP(-LN(2)/25))/(LN(2)/25)*Calculateur!ER147*Calculateur!ET147*VLOOKUP('Données projet'!$B$15,Paramètres!$A$1:$I$89,3,0)*0.475*44/12</f>
        <v>1.2791485060296965</v>
      </c>
      <c r="EX147" s="21">
        <f>EXP(-LN(2)/2)*EX146+(1-EXP(-LN(2)/2))/(LN(2)/2)*ER147*EU147*VLOOKUP('Données projet'!$B$15,Paramètres!$A$1:$I$89,3,0)*0.475*44/12</f>
        <v>2.2566732073594527E-16</v>
      </c>
      <c r="EY147" s="22">
        <f t="shared" si="129"/>
        <v>1.7569232366782055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255.41017495879987</v>
      </c>
      <c r="FK147" s="59">
        <f t="shared" si="156"/>
        <v>297.50513563712764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0.87272170672370264</v>
      </c>
      <c r="FR147" s="21">
        <f>EXP(-LN(2)/25)*FR146+(1-EXP(-LN(2)/25))/(LN(2)/25)*Calculateur!FM147*Calculateur!FO147*VLOOKUP('Données projet'!$B$16,Paramètres!$A$1:$I$89,3,0)*0.475*44/12</f>
        <v>1.1815119731434203</v>
      </c>
      <c r="FS147" s="21">
        <f>EXP(-LN(2)/2)*FS146+(1-EXP(-LN(2)/2))/(LN(2)/2)*FM147*FP147*VLOOKUP('Données projet'!$B$16,Paramètres!$A$1:$I$89,3,0)*0.475*44/12</f>
        <v>1.6931727642799293E-16</v>
      </c>
      <c r="FT147" s="22">
        <f t="shared" si="132"/>
        <v>2.054233679867123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1.1368683772161603E-13</v>
      </c>
      <c r="GA147" s="17">
        <f>FZ147*VLOOKUP('Données projet'!$B$17,Paramètres!$A$1:$I$89,3,0)*VLOOKUP('Données projet'!$B$17,Paramètres!$A$1:$I$89,5,0)</f>
        <v>6.7984728957526396E-14</v>
      </c>
      <c r="GB147" s="13">
        <f t="shared" si="157"/>
        <v>1.0682447123141398E-12</v>
      </c>
      <c r="GC147" s="20">
        <f t="shared" si="133"/>
        <v>1.978932943548152E-12</v>
      </c>
      <c r="GD147" s="59">
        <f t="shared" si="134"/>
        <v>293.3333333333353</v>
      </c>
      <c r="GE147" s="59">
        <f ca="1">AVERAGE(OFFSET($GD$3,0,0,'Données projet'!$E$17+1,1))-AVERAGE(OFFSET($H$3,0,0,'Données projet'!$E$17+1,1))</f>
        <v>259.30247982593914</v>
      </c>
      <c r="GF147" s="59">
        <f t="shared" si="158"/>
        <v>275.24740346220779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</v>
      </c>
      <c r="GM147" s="21">
        <f>EXP(-LN(2)/25)*GM146+(1-EXP(-LN(2)/25))/(LN(2)/25)*Calculateur!GH147*Calculateur!GJ147*VLOOKUP('Données projet'!$B$17,Paramètres!$A$1:$I$89,3,0)*0.475*44/12</f>
        <v>0.76448948487901791</v>
      </c>
      <c r="GN147" s="21">
        <f>EXP(-LN(2)/2)*GN146+(1-EXP(-LN(2)/2))/(LN(2)/2)*GH147*GK147*VLOOKUP('Données projet'!$B$17,Paramètres!$A$1:$I$89,3,0)*0.475*44/12</f>
        <v>1.9901073970613634E-16</v>
      </c>
      <c r="GO147" s="21">
        <f t="shared" si="135"/>
        <v>0.76448948487901813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5.6843418860808015E-14</v>
      </c>
      <c r="GV147" s="17">
        <f>GU147*VLOOKUP('Données projet'!$B$18,Paramètres!$A$1:$I$89,3,0)*VLOOKUP('Données projet'!$B$18,Paramètres!$A$1:$I$89,5,0)</f>
        <v>4.5224624045658861E-14</v>
      </c>
      <c r="GW147" s="13">
        <f t="shared" si="159"/>
        <v>7.4514601661523691E-13</v>
      </c>
      <c r="GX147" s="20">
        <f t="shared" si="136"/>
        <v>1.3765621991510601E-12</v>
      </c>
      <c r="GY147" s="59">
        <f t="shared" si="137"/>
        <v>293.33333333333468</v>
      </c>
      <c r="GZ147" s="59">
        <f ca="1">AVERAGE(OFFSET($GY$3,0,0,'Données projet'!$E$18+1,1))-AVERAGE(OFFSET($H$3,0,0,'Données projet'!$E$18+1,1))</f>
        <v>199.58763537752952</v>
      </c>
      <c r="HA147" s="59">
        <f t="shared" si="160"/>
        <v>242.62852778451929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0</v>
      </c>
      <c r="HH147" s="21">
        <f>EXP(-LN(2)/25)*HH146+(1-EXP(-LN(2)/25))/(LN(2)/25)*Calculateur!HC147*Calculateur!HE147*VLOOKUP('Données projet'!$B$18,Paramètres!$A$1:$I$89,3,0)*0.475*44/12</f>
        <v>0.43593532429520826</v>
      </c>
      <c r="HI147" s="21">
        <f>EXP(-LN(2)/2)*HI146+(1-EXP(-LN(2)/2))/(LN(2)/2)*HC147*HF147*VLOOKUP('Données projet'!$B$18,Paramètres!$A$1:$I$89,3,0)*0.475*44/12</f>
        <v>7.4673311931257452E-17</v>
      </c>
      <c r="HJ147" s="22">
        <f t="shared" si="138"/>
        <v>0.43593532429520832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-1.0286385077051818E-13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237.22177246688199</v>
      </c>
      <c r="T148" s="59">
        <f t="shared" si="142"/>
        <v>149.27472147904302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0.12807218715537347</v>
      </c>
      <c r="AB148" s="21">
        <f>EXP(-LN(2)/2)*AB147+(1-EXP(-LN(2)/2))/(LN(2)/2)*V148*Y148*VLOOKUP('Données projet'!$B$9,Paramètres!$A$1:$I$89,3,0)*0.475*44/12</f>
        <v>3.0368276220027116E-17</v>
      </c>
      <c r="AC148" s="22">
        <f t="shared" si="111"/>
        <v>0.1280721871553735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-1.1527845344971866E-13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279.20364724206644</v>
      </c>
      <c r="AO148" s="59">
        <f t="shared" si="144"/>
        <v>173.99850582760712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0.14352917526033218</v>
      </c>
      <c r="AW148" s="21">
        <f>EXP(-LN(2)/2)*AW147+(1-EXP(-LN(2)/2))/(LN(2)/2)*AQ148*AT148*VLOOKUP('Données projet'!$B$10,Paramètres!$A$1:$I$89,3,0)*0.475*44/12</f>
        <v>3.4033413005202797E-17</v>
      </c>
      <c r="AX148" s="21">
        <f t="shared" si="114"/>
        <v>0.14352917526033221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-5.3205440053716299E-14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215.23235148064941</v>
      </c>
      <c r="BJ148" s="59">
        <f t="shared" si="146"/>
        <v>184.07239726900434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0.32142601428306694</v>
      </c>
      <c r="BQ148" s="21">
        <f>EXP(-LN(2)/25)*BQ147+(1-EXP(-LN(2)/25))/(LN(2)/25)*Calculateur!BL148*Calculateur!BN148*VLOOKUP('Données projet'!$B$11,Paramètres!$A$1:$I$89,3,0)*0.475*44/12</f>
        <v>0.3239171049340171</v>
      </c>
      <c r="BR148" s="21">
        <f>EXP(-LN(2)/2)*BR147+(1-EXP(-LN(2)/2))/(LN(2)/2)*BL148*BO148*VLOOKUP('Données projet'!$B$11,Paramètres!$A$1:$I$89,3,0)*0.475*44/12</f>
        <v>4.8241956700502249E-17</v>
      </c>
      <c r="BS148" s="22">
        <f t="shared" si="117"/>
        <v>0.64534311921708398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-1.223725121235475E-13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303.1504619632214</v>
      </c>
      <c r="CE148" s="59">
        <f t="shared" si="148"/>
        <v>188.09929616366503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0.15236173989173735</v>
      </c>
      <c r="CM148" s="21">
        <f>EXP(-LN(2)/2)*CM147+(1-EXP(-LN(2)/2))/(LN(2)/2)*CG148*CJ148*VLOOKUP('Données projet'!$B$12,Paramètres!$A$1:$I$89,3,0)*0.475*44/12</f>
        <v>3.6127776882446114E-17</v>
      </c>
      <c r="CN148" s="22">
        <f t="shared" si="120"/>
        <v>0.15236173989173737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5.6843418860808015E-14</v>
      </c>
      <c r="CU148" s="17">
        <f>CT148*VLOOKUP('Données projet'!$B$13,Paramètres!$A$1:$I$89,3,0)*VLOOKUP('Données projet'!$B$13,Paramètres!$A$1:$I$89,5,0)</f>
        <v>3.813056537183002E-14</v>
      </c>
      <c r="CV148" s="13">
        <f t="shared" si="149"/>
        <v>6.4086286045526829E-13</v>
      </c>
      <c r="CW148" s="20">
        <f t="shared" si="121"/>
        <v>1.1825802166488628E-12</v>
      </c>
      <c r="CX148" s="59">
        <f t="shared" si="122"/>
        <v>293.33333333333451</v>
      </c>
      <c r="CY148" s="59">
        <f ca="1">AVERAGE(OFFSET($CX$3,0,0,'Données projet'!$E$13+1,1))-AVERAGE(OFFSET($H$3,0,0,'Données projet'!$E$13+1,1))</f>
        <v>156.63226020379989</v>
      </c>
      <c r="CZ148" s="59">
        <f t="shared" si="150"/>
        <v>196.0481096619543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0.35750254797809988</v>
      </c>
      <c r="DH148" s="21">
        <f>EXP(-LN(2)/2)*DH147+(1-EXP(-LN(2)/2))/(LN(2)/2)*DB148*DE148*VLOOKUP('Données projet'!$B$13,Paramètres!$A$1:$I$89,3,0)*0.475*44/12</f>
        <v>4.4519337751583689E-17</v>
      </c>
      <c r="DI148" s="22">
        <f t="shared" si="123"/>
        <v>0.35750254797809994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-8.5265128291212022E-14</v>
      </c>
      <c r="DP148" s="17">
        <f>DO148*VLOOKUP('Données projet'!$B$14,Paramètres!$A$1:$I$89,3,0)*VLOOKUP('Données projet'!$B$14,Paramètres!$A$1:$I$89,5,0)</f>
        <v>-7.7147888077888636E-14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225.28075317732998</v>
      </c>
      <c r="DU148" s="59">
        <f t="shared" si="152"/>
        <v>358.43407531256207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0.23005526613596086</v>
      </c>
      <c r="EB148" s="21">
        <f>EXP(-LN(2)/25)*EB147+(1-EXP(-LN(2)/25))/(LN(2)/25)*Calculateur!DW148*Calculateur!DY148*VLOOKUP('Données projet'!$B$14,Paramètres!$A$1:$I$89,3,0)*0.475*44/12</f>
        <v>0.34109513211570502</v>
      </c>
      <c r="EC148" s="21">
        <f>EXP(-LN(2)/2)*EC147+(1-EXP(-LN(2)/2))/(LN(2)/2)*DW148*DZ148*VLOOKUP('Données projet'!$B$14,Paramètres!$A$1:$I$89,3,0)*0.475*44/12</f>
        <v>2.1657566453389367E-17</v>
      </c>
      <c r="ED148" s="22">
        <f t="shared" si="126"/>
        <v>0.57115039825166591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-5.6843418860808015E-13</v>
      </c>
      <c r="EK148" s="17">
        <f>EJ148*VLOOKUP('Données projet'!$B$15,Paramètres!$A$1:$I$89,3,0)*VLOOKUP('Données projet'!$B$15,Paramètres!$A$1:$I$89,5,0)</f>
        <v>-3.177547114319168E-13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326.31232746914907</v>
      </c>
      <c r="EP148" s="59">
        <f t="shared" si="154"/>
        <v>330.17137761430297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0.46840585959430248</v>
      </c>
      <c r="EW148" s="21">
        <f>EXP(-LN(2)/25)*EW147+(1-EXP(-LN(2)/25))/(LN(2)/25)*Calculateur!ER148*Calculateur!ET148*VLOOKUP('Données projet'!$B$15,Paramètres!$A$1:$I$89,3,0)*0.475*44/12</f>
        <v>1.2441701228648181</v>
      </c>
      <c r="EX148" s="21">
        <f>EXP(-LN(2)/2)*EX147+(1-EXP(-LN(2)/2))/(LN(2)/2)*ER148*EU148*VLOOKUP('Données projet'!$B$15,Paramètres!$A$1:$I$89,3,0)*0.475*44/12</f>
        <v>1.5957089278458649E-16</v>
      </c>
      <c r="EY148" s="22">
        <f t="shared" si="129"/>
        <v>1.7125759824591207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255.41017495879987</v>
      </c>
      <c r="FK148" s="59">
        <f t="shared" si="156"/>
        <v>297.50513563712764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0.8556081663625309</v>
      </c>
      <c r="FR148" s="21">
        <f>EXP(-LN(2)/25)*FR147+(1-EXP(-LN(2)/25))/(LN(2)/25)*Calculateur!FM148*Calculateur!FO148*VLOOKUP('Données projet'!$B$16,Paramètres!$A$1:$I$89,3,0)*0.475*44/12</f>
        <v>1.1492034661047992</v>
      </c>
      <c r="FS148" s="21">
        <f>EXP(-LN(2)/2)*FS147+(1-EXP(-LN(2)/2))/(LN(2)/2)*FM148*FP148*VLOOKUP('Données projet'!$B$16,Paramètres!$A$1:$I$89,3,0)*0.475*44/12</f>
        <v>1.1972539433427098E-16</v>
      </c>
      <c r="FT148" s="22">
        <f t="shared" si="132"/>
        <v>2.0048116324673302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1.1368683772161603E-13</v>
      </c>
      <c r="GA148" s="17">
        <f>FZ148*VLOOKUP('Données projet'!$B$17,Paramètres!$A$1:$I$89,3,0)*VLOOKUP('Données projet'!$B$17,Paramètres!$A$1:$I$89,5,0)</f>
        <v>6.7984728957526396E-14</v>
      </c>
      <c r="GB148" s="13">
        <f t="shared" si="157"/>
        <v>1.0682447123141398E-12</v>
      </c>
      <c r="GC148" s="20">
        <f t="shared" si="133"/>
        <v>1.978932943548152E-12</v>
      </c>
      <c r="GD148" s="59">
        <f t="shared" si="134"/>
        <v>293.3333333333353</v>
      </c>
      <c r="GE148" s="59">
        <f ca="1">AVERAGE(OFFSET($GD$3,0,0,'Données projet'!$E$17+1,1))-AVERAGE(OFFSET($H$3,0,0,'Données projet'!$E$17+1,1))</f>
        <v>259.30247982593914</v>
      </c>
      <c r="GF148" s="59">
        <f t="shared" si="158"/>
        <v>275.24740346220779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</v>
      </c>
      <c r="GM148" s="21">
        <f>EXP(-LN(2)/25)*GM147+(1-EXP(-LN(2)/25))/(LN(2)/25)*Calculateur!GH148*Calculateur!GJ148*VLOOKUP('Données projet'!$B$17,Paramètres!$A$1:$I$89,3,0)*0.475*44/12</f>
        <v>0.74358447971224639</v>
      </c>
      <c r="GN148" s="21">
        <f>EXP(-LN(2)/2)*GN147+(1-EXP(-LN(2)/2))/(LN(2)/2)*GH148*GK148*VLOOKUP('Données projet'!$B$17,Paramètres!$A$1:$I$89,3,0)*0.475*44/12</f>
        <v>1.4072184357515991E-16</v>
      </c>
      <c r="GO148" s="21">
        <f t="shared" si="135"/>
        <v>0.7435844797122465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5.6843418860808015E-14</v>
      </c>
      <c r="GV148" s="17">
        <f>GU148*VLOOKUP('Données projet'!$B$18,Paramètres!$A$1:$I$89,3,0)*VLOOKUP('Données projet'!$B$18,Paramètres!$A$1:$I$89,5,0)</f>
        <v>4.5224624045658861E-14</v>
      </c>
      <c r="GW148" s="13">
        <f t="shared" si="159"/>
        <v>7.4514601661523691E-13</v>
      </c>
      <c r="GX148" s="20">
        <f t="shared" si="136"/>
        <v>1.3765621991510601E-12</v>
      </c>
      <c r="GY148" s="59">
        <f t="shared" si="137"/>
        <v>293.33333333333468</v>
      </c>
      <c r="GZ148" s="59">
        <f ca="1">AVERAGE(OFFSET($GY$3,0,0,'Données projet'!$E$18+1,1))-AVERAGE(OFFSET($H$3,0,0,'Données projet'!$E$18+1,1))</f>
        <v>199.58763537752952</v>
      </c>
      <c r="HA148" s="59">
        <f t="shared" si="160"/>
        <v>242.62852778451929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0</v>
      </c>
      <c r="HH148" s="21">
        <f>EXP(-LN(2)/25)*HH147+(1-EXP(-LN(2)/25))/(LN(2)/25)*Calculateur!HC148*Calculateur!HE148*VLOOKUP('Données projet'!$B$18,Paramètres!$A$1:$I$89,3,0)*0.475*44/12</f>
        <v>0.42401464992751342</v>
      </c>
      <c r="HI148" s="21">
        <f>EXP(-LN(2)/2)*HI147+(1-EXP(-LN(2)/2))/(LN(2)/2)*HC148*HF148*VLOOKUP('Données projet'!$B$18,Paramètres!$A$1:$I$89,3,0)*0.475*44/12</f>
        <v>5.2802005240250472E-17</v>
      </c>
      <c r="HJ148" s="22">
        <f t="shared" si="138"/>
        <v>0.42401464992751348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-1.0286385077051818E-13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237.22177246688199</v>
      </c>
      <c r="T149" s="59">
        <f t="shared" si="142"/>
        <v>149.27472147904302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0.12457004646258617</v>
      </c>
      <c r="AB149" s="21">
        <f>EXP(-LN(2)/2)*AB148+(1-EXP(-LN(2)/2))/(LN(2)/2)*V149*Y149*VLOOKUP('Données projet'!$B$9,Paramètres!$A$1:$I$89,3,0)*0.475*44/12</f>
        <v>2.1473614048127349E-17</v>
      </c>
      <c r="AC149" s="22">
        <f t="shared" si="111"/>
        <v>0.1245700464625862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-1.1527845344971866E-13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279.20364724206644</v>
      </c>
      <c r="AO149" s="59">
        <f t="shared" si="144"/>
        <v>173.99850582760712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0.1396043624149671</v>
      </c>
      <c r="AW149" s="21">
        <f>EXP(-LN(2)/2)*AW148+(1-EXP(-LN(2)/2))/(LN(2)/2)*AQ149*AT149*VLOOKUP('Données projet'!$B$10,Paramètres!$A$1:$I$89,3,0)*0.475*44/12</f>
        <v>2.4065257122901335E-17</v>
      </c>
      <c r="AX149" s="21">
        <f t="shared" si="114"/>
        <v>0.13960436241496713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-5.3205440053716299E-14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215.23235148064941</v>
      </c>
      <c r="BJ149" s="59">
        <f t="shared" si="146"/>
        <v>184.07239726900434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0.31512304619348636</v>
      </c>
      <c r="BQ149" s="21">
        <f>EXP(-LN(2)/25)*BQ148+(1-EXP(-LN(2)/25))/(LN(2)/25)*Calculateur!BL149*Calculateur!BN149*VLOOKUP('Données projet'!$B$11,Paramètres!$A$1:$I$89,3,0)*0.475*44/12</f>
        <v>0.31505957466553619</v>
      </c>
      <c r="BR149" s="21">
        <f>EXP(-LN(2)/2)*BR148+(1-EXP(-LN(2)/2))/(LN(2)/2)*BL149*BO149*VLOOKUP('Données projet'!$B$11,Paramètres!$A$1:$I$89,3,0)*0.475*44/12</f>
        <v>3.4112214720632944E-17</v>
      </c>
      <c r="BS149" s="22">
        <f t="shared" si="117"/>
        <v>0.63018262085902255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-1.223725121235475E-13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303.1504619632214</v>
      </c>
      <c r="CE149" s="59">
        <f t="shared" si="148"/>
        <v>188.09929616366503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0.1481954001020421</v>
      </c>
      <c r="CM149" s="21">
        <f>EXP(-LN(2)/2)*CM148+(1-EXP(-LN(2)/2))/(LN(2)/2)*CG149*CJ149*VLOOKUP('Données projet'!$B$12,Paramètres!$A$1:$I$89,3,0)*0.475*44/12</f>
        <v>2.5546196022772235E-17</v>
      </c>
      <c r="CN149" s="22">
        <f t="shared" si="120"/>
        <v>0.14819540010204213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5.6843418860808015E-14</v>
      </c>
      <c r="CU149" s="17">
        <f>CT149*VLOOKUP('Données projet'!$B$13,Paramètres!$A$1:$I$89,3,0)*VLOOKUP('Données projet'!$B$13,Paramètres!$A$1:$I$89,5,0)</f>
        <v>3.813056537183002E-14</v>
      </c>
      <c r="CV149" s="13">
        <f t="shared" si="149"/>
        <v>6.4086286045526829E-13</v>
      </c>
      <c r="CW149" s="20">
        <f t="shared" si="121"/>
        <v>1.1825802166488628E-12</v>
      </c>
      <c r="CX149" s="59">
        <f t="shared" si="122"/>
        <v>293.33333333333451</v>
      </c>
      <c r="CY149" s="59">
        <f ca="1">AVERAGE(OFFSET($CX$3,0,0,'Données projet'!$E$13+1,1))-AVERAGE(OFFSET($H$3,0,0,'Données projet'!$E$13+1,1))</f>
        <v>156.63226020379989</v>
      </c>
      <c r="CZ149" s="59">
        <f t="shared" si="150"/>
        <v>196.0481096619543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0.34772662200339682</v>
      </c>
      <c r="DH149" s="21">
        <f>EXP(-LN(2)/2)*DH148+(1-EXP(-LN(2)/2))/(LN(2)/2)*DB149*DE149*VLOOKUP('Données projet'!$B$13,Paramètres!$A$1:$I$89,3,0)*0.475*44/12</f>
        <v>3.1479925618079092E-17</v>
      </c>
      <c r="DI149" s="22">
        <f t="shared" si="123"/>
        <v>0.34772662200339688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-8.5265128291212022E-14</v>
      </c>
      <c r="DP149" s="17">
        <f>DO149*VLOOKUP('Données projet'!$B$14,Paramètres!$A$1:$I$89,3,0)*VLOOKUP('Données projet'!$B$14,Paramètres!$A$1:$I$89,5,0)</f>
        <v>-7.7147888077888636E-14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225.28075317732998</v>
      </c>
      <c r="DU149" s="59">
        <f t="shared" si="152"/>
        <v>358.43407531256207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0.22554402268689158</v>
      </c>
      <c r="EB149" s="21">
        <f>EXP(-LN(2)/25)*EB148+(1-EXP(-LN(2)/25))/(LN(2)/25)*Calculateur!DW149*Calculateur!DY149*VLOOKUP('Données projet'!$B$14,Paramètres!$A$1:$I$89,3,0)*0.475*44/12</f>
        <v>0.33176786779058764</v>
      </c>
      <c r="EC149" s="21">
        <f>EXP(-LN(2)/2)*EC148+(1-EXP(-LN(2)/2))/(LN(2)/2)*DW149*DZ149*VLOOKUP('Données projet'!$B$14,Paramètres!$A$1:$I$89,3,0)*0.475*44/12</f>
        <v>1.5314212103189907E-17</v>
      </c>
      <c r="ED149" s="22">
        <f t="shared" si="126"/>
        <v>0.5573118904774792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-5.6843418860808015E-13</v>
      </c>
      <c r="EK149" s="17">
        <f>EJ149*VLOOKUP('Données projet'!$B$15,Paramètres!$A$1:$I$89,3,0)*VLOOKUP('Données projet'!$B$15,Paramètres!$A$1:$I$89,5,0)</f>
        <v>-3.177547114319168E-13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326.31232746914907</v>
      </c>
      <c r="EP149" s="59">
        <f t="shared" si="154"/>
        <v>330.17137761430297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0.45922070638702212</v>
      </c>
      <c r="EW149" s="21">
        <f>EXP(-LN(2)/25)*EW148+(1-EXP(-LN(2)/25))/(LN(2)/25)*Calculateur!ER149*Calculateur!ET149*VLOOKUP('Données projet'!$B$15,Paramètres!$A$1:$I$89,3,0)*0.475*44/12</f>
        <v>1.2101482254270164</v>
      </c>
      <c r="EX149" s="21">
        <f>EXP(-LN(2)/2)*EX148+(1-EXP(-LN(2)/2))/(LN(2)/2)*ER149*EU149*VLOOKUP('Données projet'!$B$15,Paramètres!$A$1:$I$89,3,0)*0.475*44/12</f>
        <v>1.1283366036797263E-16</v>
      </c>
      <c r="EY149" s="22">
        <f t="shared" si="129"/>
        <v>1.6693689318140388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255.41017495879987</v>
      </c>
      <c r="FK149" s="59">
        <f t="shared" si="156"/>
        <v>297.50513563712764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0.83883021208961284</v>
      </c>
      <c r="FR149" s="21">
        <f>EXP(-LN(2)/25)*FR148+(1-EXP(-LN(2)/25))/(LN(2)/25)*Calculateur!FM149*Calculateur!FO149*VLOOKUP('Données projet'!$B$16,Paramètres!$A$1:$I$89,3,0)*0.475*44/12</f>
        <v>1.1177784368901797</v>
      </c>
      <c r="FS149" s="21">
        <f>EXP(-LN(2)/2)*FS148+(1-EXP(-LN(2)/2))/(LN(2)/2)*FM149*FP149*VLOOKUP('Données projet'!$B$16,Paramètres!$A$1:$I$89,3,0)*0.475*44/12</f>
        <v>8.4658638213996467E-17</v>
      </c>
      <c r="FT149" s="22">
        <f t="shared" si="132"/>
        <v>1.9566086489797927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1.1368683772161603E-13</v>
      </c>
      <c r="GA149" s="17">
        <f>FZ149*VLOOKUP('Données projet'!$B$17,Paramètres!$A$1:$I$89,3,0)*VLOOKUP('Données projet'!$B$17,Paramètres!$A$1:$I$89,5,0)</f>
        <v>6.7984728957526396E-14</v>
      </c>
      <c r="GB149" s="13">
        <f t="shared" si="157"/>
        <v>1.0682447123141398E-12</v>
      </c>
      <c r="GC149" s="20">
        <f t="shared" si="133"/>
        <v>1.978932943548152E-12</v>
      </c>
      <c r="GD149" s="59">
        <f t="shared" si="134"/>
        <v>293.3333333333353</v>
      </c>
      <c r="GE149" s="59">
        <f ca="1">AVERAGE(OFFSET($GD$3,0,0,'Données projet'!$E$17+1,1))-AVERAGE(OFFSET($H$3,0,0,'Données projet'!$E$17+1,1))</f>
        <v>259.30247982593914</v>
      </c>
      <c r="GF149" s="59">
        <f t="shared" si="158"/>
        <v>275.24740346220779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</v>
      </c>
      <c r="GM149" s="21">
        <f>EXP(-LN(2)/25)*GM148+(1-EXP(-LN(2)/25))/(LN(2)/25)*Calculateur!GH149*Calculateur!GJ149*VLOOKUP('Données projet'!$B$17,Paramètres!$A$1:$I$89,3,0)*0.475*44/12</f>
        <v>0.72325112301110672</v>
      </c>
      <c r="GN149" s="21">
        <f>EXP(-LN(2)/2)*GN148+(1-EXP(-LN(2)/2))/(LN(2)/2)*GH149*GK149*VLOOKUP('Données projet'!$B$17,Paramètres!$A$1:$I$89,3,0)*0.475*44/12</f>
        <v>9.950536985306817E-17</v>
      </c>
      <c r="GO149" s="21">
        <f t="shared" si="135"/>
        <v>0.72325112301110683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5.6843418860808015E-14</v>
      </c>
      <c r="GV149" s="17">
        <f>GU149*VLOOKUP('Données projet'!$B$18,Paramètres!$A$1:$I$89,3,0)*VLOOKUP('Données projet'!$B$18,Paramètres!$A$1:$I$89,5,0)</f>
        <v>4.5224624045658861E-14</v>
      </c>
      <c r="GW149" s="13">
        <f t="shared" si="159"/>
        <v>7.4514601661523691E-13</v>
      </c>
      <c r="GX149" s="20">
        <f t="shared" si="136"/>
        <v>1.3765621991510601E-12</v>
      </c>
      <c r="GY149" s="59">
        <f t="shared" si="137"/>
        <v>293.33333333333468</v>
      </c>
      <c r="GZ149" s="59">
        <f ca="1">AVERAGE(OFFSET($GY$3,0,0,'Données projet'!$E$18+1,1))-AVERAGE(OFFSET($H$3,0,0,'Données projet'!$E$18+1,1))</f>
        <v>199.58763537752952</v>
      </c>
      <c r="HA149" s="59">
        <f t="shared" si="160"/>
        <v>242.62852778451929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0</v>
      </c>
      <c r="HH149" s="21">
        <f>EXP(-LN(2)/25)*HH148+(1-EXP(-LN(2)/25))/(LN(2)/25)*Calculateur!HC149*Calculateur!HE149*VLOOKUP('Données projet'!$B$18,Paramètres!$A$1:$I$89,3,0)*0.475*44/12</f>
        <v>0.41241994702728424</v>
      </c>
      <c r="HI149" s="21">
        <f>EXP(-LN(2)/2)*HI148+(1-EXP(-LN(2)/2))/(LN(2)/2)*HC149*HF149*VLOOKUP('Données projet'!$B$18,Paramètres!$A$1:$I$89,3,0)*0.475*44/12</f>
        <v>3.7336655965628726E-17</v>
      </c>
      <c r="HJ149" s="22">
        <f t="shared" si="138"/>
        <v>0.41241994702728429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-1.0286385077051818E-13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237.22177246688199</v>
      </c>
      <c r="T150" s="59">
        <f t="shared" si="142"/>
        <v>149.27472147904302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0.12116367199121271</v>
      </c>
      <c r="AB150" s="21">
        <f>EXP(-LN(2)/2)*AB149+(1-EXP(-LN(2)/2))/(LN(2)/2)*V150*Y150*VLOOKUP('Données projet'!$B$9,Paramètres!$A$1:$I$89,3,0)*0.475*44/12</f>
        <v>1.5184138110013558E-17</v>
      </c>
      <c r="AC150" s="22">
        <f t="shared" si="111"/>
        <v>0.12116367199121272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-1.1527845344971866E-13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279.20364724206644</v>
      </c>
      <c r="AO150" s="59">
        <f t="shared" si="144"/>
        <v>173.99850582760712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0.13578687378325546</v>
      </c>
      <c r="AW150" s="21">
        <f>EXP(-LN(2)/2)*AW149+(1-EXP(-LN(2)/2))/(LN(2)/2)*AQ150*AT150*VLOOKUP('Données projet'!$B$10,Paramètres!$A$1:$I$89,3,0)*0.475*44/12</f>
        <v>1.7016706502601399E-17</v>
      </c>
      <c r="AX150" s="21">
        <f t="shared" si="114"/>
        <v>0.13578687378325549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-5.3205440053716299E-14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215.23235148064941</v>
      </c>
      <c r="BJ150" s="59">
        <f t="shared" si="146"/>
        <v>184.07239726900434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0.30894367546371149</v>
      </c>
      <c r="BQ150" s="21">
        <f>EXP(-LN(2)/25)*BQ149+(1-EXP(-LN(2)/25))/(LN(2)/25)*Calculateur!BL150*Calculateur!BN150*VLOOKUP('Données projet'!$B$11,Paramètres!$A$1:$I$89,3,0)*0.475*44/12</f>
        <v>0.30644425402804415</v>
      </c>
      <c r="BR150" s="21">
        <f>EXP(-LN(2)/2)*BR149+(1-EXP(-LN(2)/2))/(LN(2)/2)*BL150*BO150*VLOOKUP('Données projet'!$B$11,Paramètres!$A$1:$I$89,3,0)*0.475*44/12</f>
        <v>2.4120978350251125E-17</v>
      </c>
      <c r="BS150" s="22">
        <f t="shared" si="117"/>
        <v>0.61538792949175569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-1.223725121235475E-13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303.1504619632214</v>
      </c>
      <c r="CE150" s="59">
        <f t="shared" si="148"/>
        <v>188.09929616366503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0.14414298909299436</v>
      </c>
      <c r="CM150" s="21">
        <f>EXP(-LN(2)/2)*CM149+(1-EXP(-LN(2)/2))/(LN(2)/2)*CG150*CJ150*VLOOKUP('Données projet'!$B$12,Paramètres!$A$1:$I$89,3,0)*0.475*44/12</f>
        <v>1.8063888441223057E-17</v>
      </c>
      <c r="CN150" s="22">
        <f t="shared" si="120"/>
        <v>0.14414298909299439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5.6843418860808015E-14</v>
      </c>
      <c r="CU150" s="17">
        <f>CT150*VLOOKUP('Données projet'!$B$13,Paramètres!$A$1:$I$89,3,0)*VLOOKUP('Données projet'!$B$13,Paramètres!$A$1:$I$89,5,0)</f>
        <v>3.813056537183002E-14</v>
      </c>
      <c r="CV150" s="13">
        <f t="shared" si="149"/>
        <v>6.4086286045526829E-13</v>
      </c>
      <c r="CW150" s="20">
        <f t="shared" si="121"/>
        <v>1.1825802166488628E-12</v>
      </c>
      <c r="CX150" s="59">
        <f t="shared" si="122"/>
        <v>293.33333333333451</v>
      </c>
      <c r="CY150" s="59">
        <f ca="1">AVERAGE(OFFSET($CX$3,0,0,'Données projet'!$E$13+1,1))-AVERAGE(OFFSET($H$3,0,0,'Données projet'!$E$13+1,1))</f>
        <v>156.63226020379989</v>
      </c>
      <c r="CZ150" s="59">
        <f t="shared" si="150"/>
        <v>196.0481096619543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0.33821801923856565</v>
      </c>
      <c r="DH150" s="21">
        <f>EXP(-LN(2)/2)*DH149+(1-EXP(-LN(2)/2))/(LN(2)/2)*DB150*DE150*VLOOKUP('Données projet'!$B$13,Paramètres!$A$1:$I$89,3,0)*0.475*44/12</f>
        <v>2.2259668875791844E-17</v>
      </c>
      <c r="DI150" s="22">
        <f t="shared" si="123"/>
        <v>0.33821801923856565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-8.5265128291212022E-14</v>
      </c>
      <c r="DP150" s="17">
        <f>DO150*VLOOKUP('Données projet'!$B$14,Paramètres!$A$1:$I$89,3,0)*VLOOKUP('Données projet'!$B$14,Paramètres!$A$1:$I$89,5,0)</f>
        <v>-7.7147888077888636E-14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225.28075317732998</v>
      </c>
      <c r="DU150" s="59">
        <f t="shared" si="152"/>
        <v>358.43407531256207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0.22112124197027175</v>
      </c>
      <c r="EB150" s="21">
        <f>EXP(-LN(2)/25)*EB149+(1-EXP(-LN(2)/25))/(LN(2)/25)*Calculateur!DW150*Calculateur!DY150*VLOOKUP('Données projet'!$B$14,Paramètres!$A$1:$I$89,3,0)*0.475*44/12</f>
        <v>0.32269565799894012</v>
      </c>
      <c r="EC150" s="21">
        <f>EXP(-LN(2)/2)*EC149+(1-EXP(-LN(2)/2))/(LN(2)/2)*DW150*DZ150*VLOOKUP('Données projet'!$B$14,Paramètres!$A$1:$I$89,3,0)*0.475*44/12</f>
        <v>1.0828783226694684E-17</v>
      </c>
      <c r="ED150" s="22">
        <f t="shared" si="126"/>
        <v>0.5438168999692119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-5.6843418860808015E-13</v>
      </c>
      <c r="EK150" s="17">
        <f>EJ150*VLOOKUP('Données projet'!$B$15,Paramètres!$A$1:$I$89,3,0)*VLOOKUP('Données projet'!$B$15,Paramètres!$A$1:$I$89,5,0)</f>
        <v>-3.177547114319168E-13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326.31232746914907</v>
      </c>
      <c r="EP150" s="59">
        <f t="shared" si="154"/>
        <v>330.17137761430297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0.45021566843174621</v>
      </c>
      <c r="EW150" s="21">
        <f>EXP(-LN(2)/25)*EW149+(1-EXP(-LN(2)/25))/(LN(2)/25)*Calculateur!ER150*Calculateur!ET150*VLOOKUP('Données projet'!$B$15,Paramètres!$A$1:$I$89,3,0)*0.475*44/12</f>
        <v>1.1770566585637854</v>
      </c>
      <c r="EX150" s="21">
        <f>EXP(-LN(2)/2)*EX149+(1-EXP(-LN(2)/2))/(LN(2)/2)*ER150*EU150*VLOOKUP('Données projet'!$B$15,Paramètres!$A$1:$I$89,3,0)*0.475*44/12</f>
        <v>7.9785446392293243E-17</v>
      </c>
      <c r="EY150" s="22">
        <f t="shared" si="129"/>
        <v>1.6272723269955316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255.41017495879987</v>
      </c>
      <c r="FK150" s="59">
        <f t="shared" si="156"/>
        <v>297.50513563712764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0.82238126326644501</v>
      </c>
      <c r="FR150" s="21">
        <f>EXP(-LN(2)/25)*FR149+(1-EXP(-LN(2)/25))/(LN(2)/25)*Calculateur!FM150*Calculateur!FO150*VLOOKUP('Données projet'!$B$16,Paramètres!$A$1:$I$89,3,0)*0.475*44/12</f>
        <v>1.0872127267520044</v>
      </c>
      <c r="FS150" s="21">
        <f>EXP(-LN(2)/2)*FS149+(1-EXP(-LN(2)/2))/(LN(2)/2)*FM150*FP150*VLOOKUP('Données projet'!$B$16,Paramètres!$A$1:$I$89,3,0)*0.475*44/12</f>
        <v>5.986269716713549E-17</v>
      </c>
      <c r="FT150" s="22">
        <f t="shared" si="132"/>
        <v>1.9095939900184495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1.1368683772161603E-13</v>
      </c>
      <c r="GA150" s="17">
        <f>FZ150*VLOOKUP('Données projet'!$B$17,Paramètres!$A$1:$I$89,3,0)*VLOOKUP('Données projet'!$B$17,Paramètres!$A$1:$I$89,5,0)</f>
        <v>6.7984728957526396E-14</v>
      </c>
      <c r="GB150" s="13">
        <f t="shared" si="157"/>
        <v>1.0682447123141398E-12</v>
      </c>
      <c r="GC150" s="20">
        <f t="shared" si="133"/>
        <v>1.978932943548152E-12</v>
      </c>
      <c r="GD150" s="59">
        <f t="shared" si="134"/>
        <v>293.3333333333353</v>
      </c>
      <c r="GE150" s="59">
        <f ca="1">AVERAGE(OFFSET($GD$3,0,0,'Données projet'!$E$17+1,1))-AVERAGE(OFFSET($H$3,0,0,'Données projet'!$E$17+1,1))</f>
        <v>259.30247982593914</v>
      </c>
      <c r="GF150" s="59">
        <f t="shared" si="158"/>
        <v>275.24740346220779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</v>
      </c>
      <c r="GM150" s="21">
        <f>EXP(-LN(2)/25)*GM149+(1-EXP(-LN(2)/25))/(LN(2)/25)*Calculateur!GH150*Calculateur!GJ150*VLOOKUP('Données projet'!$B$17,Paramètres!$A$1:$I$89,3,0)*0.475*44/12</f>
        <v>0.70347378301824448</v>
      </c>
      <c r="GN150" s="21">
        <f>EXP(-LN(2)/2)*GN149+(1-EXP(-LN(2)/2))/(LN(2)/2)*GH150*GK150*VLOOKUP('Données projet'!$B$17,Paramètres!$A$1:$I$89,3,0)*0.475*44/12</f>
        <v>7.0360921787579956E-17</v>
      </c>
      <c r="GO150" s="21">
        <f t="shared" si="135"/>
        <v>0.70347378301824459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5.6843418860808015E-14</v>
      </c>
      <c r="GV150" s="17">
        <f>GU150*VLOOKUP('Données projet'!$B$18,Paramètres!$A$1:$I$89,3,0)*VLOOKUP('Données projet'!$B$18,Paramètres!$A$1:$I$89,5,0)</f>
        <v>4.5224624045658861E-14</v>
      </c>
      <c r="GW150" s="13">
        <f t="shared" si="159"/>
        <v>7.4514601661523691E-13</v>
      </c>
      <c r="GX150" s="20">
        <f t="shared" si="136"/>
        <v>1.3765621991510601E-12</v>
      </c>
      <c r="GY150" s="59">
        <f t="shared" si="137"/>
        <v>293.33333333333468</v>
      </c>
      <c r="GZ150" s="59">
        <f ca="1">AVERAGE(OFFSET($GY$3,0,0,'Données projet'!$E$18+1,1))-AVERAGE(OFFSET($H$3,0,0,'Données projet'!$E$18+1,1))</f>
        <v>199.58763537752952</v>
      </c>
      <c r="HA150" s="59">
        <f t="shared" si="160"/>
        <v>242.62852778451929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0</v>
      </c>
      <c r="HH150" s="21">
        <f>EXP(-LN(2)/25)*HH149+(1-EXP(-LN(2)/25))/(LN(2)/25)*Calculateur!HC150*Calculateur!HE150*VLOOKUP('Données projet'!$B$18,Paramètres!$A$1:$I$89,3,0)*0.475*44/12</f>
        <v>0.40114230188760075</v>
      </c>
      <c r="HI150" s="21">
        <f>EXP(-LN(2)/2)*HI149+(1-EXP(-LN(2)/2))/(LN(2)/2)*HC150*HF150*VLOOKUP('Données projet'!$B$18,Paramètres!$A$1:$I$89,3,0)*0.475*44/12</f>
        <v>2.6401002620125236E-17</v>
      </c>
      <c r="HJ150" s="22">
        <f t="shared" si="138"/>
        <v>0.40114230188760075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-1.0286385077051818E-13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237.22177246688199</v>
      </c>
      <c r="T151" s="59">
        <f t="shared" si="142"/>
        <v>149.27472147904302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0.11785044500889241</v>
      </c>
      <c r="AB151" s="21">
        <f>EXP(-LN(2)/2)*AB150+(1-EXP(-LN(2)/2))/(LN(2)/2)*V151*Y151*VLOOKUP('Données projet'!$B$9,Paramètres!$A$1:$I$89,3,0)*0.475*44/12</f>
        <v>1.0736807024063674E-17</v>
      </c>
      <c r="AC151" s="22">
        <f t="shared" si="111"/>
        <v>0.11785044500889243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-1.1527845344971866E-13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279.20364724206644</v>
      </c>
      <c r="AO151" s="59">
        <f t="shared" si="144"/>
        <v>173.99850582760712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0.13207377457893099</v>
      </c>
      <c r="AW151" s="21">
        <f>EXP(-LN(2)/2)*AW150+(1-EXP(-LN(2)/2))/(LN(2)/2)*AQ151*AT151*VLOOKUP('Données projet'!$B$10,Paramètres!$A$1:$I$89,3,0)*0.475*44/12</f>
        <v>1.2032628561450668E-17</v>
      </c>
      <c r="AX151" s="21">
        <f t="shared" si="114"/>
        <v>0.13207377457893099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-5.3205440053716299E-14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215.23235148064941</v>
      </c>
      <c r="BJ151" s="59">
        <f t="shared" si="146"/>
        <v>184.07239726900434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0.30288547842490354</v>
      </c>
      <c r="BQ151" s="21">
        <f>EXP(-LN(2)/25)*BQ150+(1-EXP(-LN(2)/25))/(LN(2)/25)*Calculateur!BL151*Calculateur!BN151*VLOOKUP('Données projet'!$B$11,Paramètres!$A$1:$I$89,3,0)*0.475*44/12</f>
        <v>0.29806451978644433</v>
      </c>
      <c r="BR151" s="21">
        <f>EXP(-LN(2)/2)*BR150+(1-EXP(-LN(2)/2))/(LN(2)/2)*BL151*BO151*VLOOKUP('Données projet'!$B$11,Paramètres!$A$1:$I$89,3,0)*0.475*44/12</f>
        <v>1.7056107360316472E-17</v>
      </c>
      <c r="BS151" s="22">
        <f t="shared" si="117"/>
        <v>0.60094999821134787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-1.223725121235475E-13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303.1504619632214</v>
      </c>
      <c r="CE151" s="59">
        <f t="shared" si="148"/>
        <v>188.09929616366503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0.14020139147609609</v>
      </c>
      <c r="CM151" s="21">
        <f>EXP(-LN(2)/2)*CM150+(1-EXP(-LN(2)/2))/(LN(2)/2)*CG151*CJ151*VLOOKUP('Données projet'!$B$12,Paramètres!$A$1:$I$89,3,0)*0.475*44/12</f>
        <v>1.2773098011386118E-17</v>
      </c>
      <c r="CN151" s="22">
        <f t="shared" si="120"/>
        <v>0.14020139147609609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5.6843418860808015E-14</v>
      </c>
      <c r="CU151" s="17">
        <f>CT151*VLOOKUP('Données projet'!$B$13,Paramètres!$A$1:$I$89,3,0)*VLOOKUP('Données projet'!$B$13,Paramètres!$A$1:$I$89,5,0)</f>
        <v>3.813056537183002E-14</v>
      </c>
      <c r="CV151" s="13">
        <f t="shared" si="149"/>
        <v>6.4086286045526829E-13</v>
      </c>
      <c r="CW151" s="20">
        <f t="shared" si="121"/>
        <v>1.1825802166488628E-12</v>
      </c>
      <c r="CX151" s="59">
        <f t="shared" si="122"/>
        <v>293.33333333333451</v>
      </c>
      <c r="CY151" s="59">
        <f ca="1">AVERAGE(OFFSET($CX$3,0,0,'Données projet'!$E$13+1,1))-AVERAGE(OFFSET($H$3,0,0,'Données projet'!$E$13+1,1))</f>
        <v>156.63226020379989</v>
      </c>
      <c r="CZ151" s="59">
        <f t="shared" si="150"/>
        <v>196.0481096619543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0.32896942971637444</v>
      </c>
      <c r="DH151" s="21">
        <f>EXP(-LN(2)/2)*DH150+(1-EXP(-LN(2)/2))/(LN(2)/2)*DB151*DE151*VLOOKUP('Données projet'!$B$13,Paramètres!$A$1:$I$89,3,0)*0.475*44/12</f>
        <v>1.5739962809039546E-17</v>
      </c>
      <c r="DI151" s="22">
        <f t="shared" si="123"/>
        <v>0.32896942971637444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-8.5265128291212022E-14</v>
      </c>
      <c r="DP151" s="17">
        <f>DO151*VLOOKUP('Données projet'!$B$14,Paramètres!$A$1:$I$89,3,0)*VLOOKUP('Données projet'!$B$14,Paramètres!$A$1:$I$89,5,0)</f>
        <v>-7.7147888077888636E-14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225.28075317732998</v>
      </c>
      <c r="DU151" s="59">
        <f t="shared" si="152"/>
        <v>358.43407531256207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0.21678518928587495</v>
      </c>
      <c r="EB151" s="21">
        <f>EXP(-LN(2)/25)*EB150+(1-EXP(-LN(2)/25))/(LN(2)/25)*Calculateur!DW151*Calculateur!DY151*VLOOKUP('Données projet'!$B$14,Paramètres!$A$1:$I$89,3,0)*0.475*44/12</f>
        <v>0.31387152826113196</v>
      </c>
      <c r="EC151" s="21">
        <f>EXP(-LN(2)/2)*EC150+(1-EXP(-LN(2)/2))/(LN(2)/2)*DW151*DZ151*VLOOKUP('Données projet'!$B$14,Paramètres!$A$1:$I$89,3,0)*0.475*44/12</f>
        <v>7.6571060515949537E-18</v>
      </c>
      <c r="ED151" s="22">
        <f t="shared" si="126"/>
        <v>0.53065671754700694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-5.6843418860808015E-13</v>
      </c>
      <c r="EK151" s="17">
        <f>EJ151*VLOOKUP('Données projet'!$B$15,Paramètres!$A$1:$I$89,3,0)*VLOOKUP('Données projet'!$B$15,Paramètres!$A$1:$I$89,5,0)</f>
        <v>-3.177547114319168E-13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326.31232746914907</v>
      </c>
      <c r="EP151" s="59">
        <f t="shared" si="154"/>
        <v>330.17137761430297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0.44138721377824247</v>
      </c>
      <c r="EW151" s="21">
        <f>EXP(-LN(2)/25)*EW150+(1-EXP(-LN(2)/25))/(LN(2)/25)*Calculateur!ER151*Calculateur!ET151*VLOOKUP('Données projet'!$B$15,Paramètres!$A$1:$I$89,3,0)*0.475*44/12</f>
        <v>1.1448699823366393</v>
      </c>
      <c r="EX151" s="21">
        <f>EXP(-LN(2)/2)*EX150+(1-EXP(-LN(2)/2))/(LN(2)/2)*ER151*EU151*VLOOKUP('Données projet'!$B$15,Paramètres!$A$1:$I$89,3,0)*0.475*44/12</f>
        <v>5.6416830183986316E-17</v>
      </c>
      <c r="EY151" s="22">
        <f t="shared" si="129"/>
        <v>1.5862571961148817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255.41017495879987</v>
      </c>
      <c r="FK151" s="59">
        <f t="shared" si="156"/>
        <v>297.50513563712764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0.80625486829683146</v>
      </c>
      <c r="FR151" s="21">
        <f>EXP(-LN(2)/25)*FR150+(1-EXP(-LN(2)/25))/(LN(2)/25)*Calculateur!FM151*Calculateur!FO151*VLOOKUP('Données projet'!$B$16,Paramètres!$A$1:$I$89,3,0)*0.475*44/12</f>
        <v>1.0574828375649383</v>
      </c>
      <c r="FS151" s="21">
        <f>EXP(-LN(2)/2)*FS150+(1-EXP(-LN(2)/2))/(LN(2)/2)*FM151*FP151*VLOOKUP('Données projet'!$B$16,Paramètres!$A$1:$I$89,3,0)*0.475*44/12</f>
        <v>4.2329319106998234E-17</v>
      </c>
      <c r="FT151" s="22">
        <f t="shared" si="132"/>
        <v>1.8637377058617699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1.1368683772161603E-13</v>
      </c>
      <c r="GA151" s="17">
        <f>FZ151*VLOOKUP('Données projet'!$B$17,Paramètres!$A$1:$I$89,3,0)*VLOOKUP('Données projet'!$B$17,Paramètres!$A$1:$I$89,5,0)</f>
        <v>6.7984728957526396E-14</v>
      </c>
      <c r="GB151" s="13">
        <f t="shared" si="157"/>
        <v>1.0682447123141398E-12</v>
      </c>
      <c r="GC151" s="20">
        <f t="shared" si="133"/>
        <v>1.978932943548152E-12</v>
      </c>
      <c r="GD151" s="59">
        <f t="shared" si="134"/>
        <v>293.3333333333353</v>
      </c>
      <c r="GE151" s="59">
        <f ca="1">AVERAGE(OFFSET($GD$3,0,0,'Données projet'!$E$17+1,1))-AVERAGE(OFFSET($H$3,0,0,'Données projet'!$E$17+1,1))</f>
        <v>259.30247982593914</v>
      </c>
      <c r="GF151" s="59">
        <f t="shared" si="158"/>
        <v>275.24740346220779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</v>
      </c>
      <c r="GM151" s="21">
        <f>EXP(-LN(2)/25)*GM150+(1-EXP(-LN(2)/25))/(LN(2)/25)*Calculateur!GH151*Calculateur!GJ151*VLOOKUP('Données projet'!$B$17,Paramètres!$A$1:$I$89,3,0)*0.475*44/12</f>
        <v>0.68423725542753211</v>
      </c>
      <c r="GN151" s="21">
        <f>EXP(-LN(2)/2)*GN150+(1-EXP(-LN(2)/2))/(LN(2)/2)*GH151*GK151*VLOOKUP('Données projet'!$B$17,Paramètres!$A$1:$I$89,3,0)*0.475*44/12</f>
        <v>4.9752684926534085E-17</v>
      </c>
      <c r="GO151" s="21">
        <f t="shared" si="135"/>
        <v>0.68423725542753211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5.6843418860808015E-14</v>
      </c>
      <c r="GV151" s="17">
        <f>GU151*VLOOKUP('Données projet'!$B$18,Paramètres!$A$1:$I$89,3,0)*VLOOKUP('Données projet'!$B$18,Paramètres!$A$1:$I$89,5,0)</f>
        <v>4.5224624045658861E-14</v>
      </c>
      <c r="GW151" s="13">
        <f t="shared" si="159"/>
        <v>7.4514601661523691E-13</v>
      </c>
      <c r="GX151" s="20">
        <f t="shared" si="136"/>
        <v>1.3765621991510601E-12</v>
      </c>
      <c r="GY151" s="59">
        <f t="shared" si="137"/>
        <v>293.33333333333468</v>
      </c>
      <c r="GZ151" s="59">
        <f ca="1">AVERAGE(OFFSET($GY$3,0,0,'Données projet'!$E$18+1,1))-AVERAGE(OFFSET($H$3,0,0,'Données projet'!$E$18+1,1))</f>
        <v>199.58763537752952</v>
      </c>
      <c r="HA151" s="59">
        <f t="shared" si="160"/>
        <v>242.62852778451929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0</v>
      </c>
      <c r="HH151" s="21">
        <f>EXP(-LN(2)/25)*HH150+(1-EXP(-LN(2)/25))/(LN(2)/25)*Calculateur!HC151*Calculateur!HE151*VLOOKUP('Données projet'!$B$18,Paramètres!$A$1:$I$89,3,0)*0.475*44/12</f>
        <v>0.39017304454732749</v>
      </c>
      <c r="HI151" s="21">
        <f>EXP(-LN(2)/2)*HI150+(1-EXP(-LN(2)/2))/(LN(2)/2)*HC151*HF151*VLOOKUP('Données projet'!$B$18,Paramètres!$A$1:$I$89,3,0)*0.475*44/12</f>
        <v>1.8668327982814363E-17</v>
      </c>
      <c r="HJ151" s="22">
        <f t="shared" si="138"/>
        <v>0.39017304454732749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-1.0286385077051818E-13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237.22177246688199</v>
      </c>
      <c r="T152" s="59">
        <f t="shared" si="142"/>
        <v>149.27472147904302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0.11462781839263869</v>
      </c>
      <c r="AB152" s="21">
        <f>EXP(-LN(2)/2)*AB151+(1-EXP(-LN(2)/2))/(LN(2)/2)*V152*Y152*VLOOKUP('Données projet'!$B$9,Paramètres!$A$1:$I$89,3,0)*0.475*44/12</f>
        <v>7.592069055006779E-18</v>
      </c>
      <c r="AC152" s="22">
        <f t="shared" si="111"/>
        <v>0.11462781839263871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-1.1527845344971866E-13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279.20364724206644</v>
      </c>
      <c r="AO152" s="59">
        <f t="shared" si="144"/>
        <v>173.99850582760712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0.12846221026761218</v>
      </c>
      <c r="AW152" s="21">
        <f>EXP(-LN(2)/2)*AW151+(1-EXP(-LN(2)/2))/(LN(2)/2)*AQ152*AT152*VLOOKUP('Données projet'!$B$10,Paramètres!$A$1:$I$89,3,0)*0.475*44/12</f>
        <v>8.5083532513006993E-18</v>
      </c>
      <c r="AX152" s="21">
        <f t="shared" si="114"/>
        <v>0.12846221026761218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-5.3205440053716299E-14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215.23235148064941</v>
      </c>
      <c r="BJ152" s="59">
        <f t="shared" si="146"/>
        <v>184.07239726900434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0.29694607893489128</v>
      </c>
      <c r="BQ152" s="21">
        <f>EXP(-LN(2)/25)*BQ151+(1-EXP(-LN(2)/25))/(LN(2)/25)*Calculateur!BL152*Calculateur!BN152*VLOOKUP('Données projet'!$B$11,Paramètres!$A$1:$I$89,3,0)*0.475*44/12</f>
        <v>0.28991392981835212</v>
      </c>
      <c r="BR152" s="21">
        <f>EXP(-LN(2)/2)*BR151+(1-EXP(-LN(2)/2))/(LN(2)/2)*BL152*BO152*VLOOKUP('Données projet'!$B$11,Paramètres!$A$1:$I$89,3,0)*0.475*44/12</f>
        <v>1.2060489175125562E-17</v>
      </c>
      <c r="BS152" s="22">
        <f t="shared" si="117"/>
        <v>0.5868600087532434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-1.223725121235475E-13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303.1504619632214</v>
      </c>
      <c r="CE152" s="59">
        <f t="shared" si="148"/>
        <v>188.09929616366503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0.13636757705331148</v>
      </c>
      <c r="CM152" s="21">
        <f>EXP(-LN(2)/2)*CM151+(1-EXP(-LN(2)/2))/(LN(2)/2)*CG152*CJ152*VLOOKUP('Données projet'!$B$12,Paramètres!$A$1:$I$89,3,0)*0.475*44/12</f>
        <v>9.0319442206115286E-18</v>
      </c>
      <c r="CN152" s="22">
        <f t="shared" si="120"/>
        <v>0.13636757705331148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5.6843418860808015E-14</v>
      </c>
      <c r="CU152" s="17">
        <f>CT152*VLOOKUP('Données projet'!$B$13,Paramètres!$A$1:$I$89,3,0)*VLOOKUP('Données projet'!$B$13,Paramètres!$A$1:$I$89,5,0)</f>
        <v>3.813056537183002E-14</v>
      </c>
      <c r="CV152" s="13">
        <f t="shared" si="149"/>
        <v>6.4086286045526829E-13</v>
      </c>
      <c r="CW152" s="20">
        <f t="shared" si="121"/>
        <v>1.1825802166488628E-12</v>
      </c>
      <c r="CX152" s="59">
        <f t="shared" si="122"/>
        <v>293.33333333333451</v>
      </c>
      <c r="CY152" s="59">
        <f ca="1">AVERAGE(OFFSET($CX$3,0,0,'Données projet'!$E$13+1,1))-AVERAGE(OFFSET($H$3,0,0,'Données projet'!$E$13+1,1))</f>
        <v>156.63226020379989</v>
      </c>
      <c r="CZ152" s="59">
        <f t="shared" si="150"/>
        <v>196.0481096619543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0.31997374336102974</v>
      </c>
      <c r="DH152" s="21">
        <f>EXP(-LN(2)/2)*DH151+(1-EXP(-LN(2)/2))/(LN(2)/2)*DB152*DE152*VLOOKUP('Données projet'!$B$13,Paramètres!$A$1:$I$89,3,0)*0.475*44/12</f>
        <v>1.1129834437895922E-17</v>
      </c>
      <c r="DI152" s="22">
        <f t="shared" si="123"/>
        <v>0.31997374336102974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-8.5265128291212022E-14</v>
      </c>
      <c r="DP152" s="17">
        <f>DO152*VLOOKUP('Données projet'!$B$14,Paramètres!$A$1:$I$89,3,0)*VLOOKUP('Données projet'!$B$14,Paramètres!$A$1:$I$89,5,0)</f>
        <v>-7.7147888077888636E-14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225.28075317732998</v>
      </c>
      <c r="DU152" s="59">
        <f t="shared" si="152"/>
        <v>358.43407531256207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0.21253416394988819</v>
      </c>
      <c r="EB152" s="21">
        <f>EXP(-LN(2)/25)*EB151+(1-EXP(-LN(2)/25))/(LN(2)/25)*Calculateur!DW152*Calculateur!DY152*VLOOKUP('Données projet'!$B$14,Paramètres!$A$1:$I$89,3,0)*0.475*44/12</f>
        <v>0.305288694815045</v>
      </c>
      <c r="EC152" s="21">
        <f>EXP(-LN(2)/2)*EC151+(1-EXP(-LN(2)/2))/(LN(2)/2)*DW152*DZ152*VLOOKUP('Données projet'!$B$14,Paramètres!$A$1:$I$89,3,0)*0.475*44/12</f>
        <v>5.4143916133473418E-18</v>
      </c>
      <c r="ED152" s="22">
        <f t="shared" si="126"/>
        <v>0.51782285876493317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-5.6843418860808015E-13</v>
      </c>
      <c r="EK152" s="17">
        <f>EJ152*VLOOKUP('Données projet'!$B$15,Paramètres!$A$1:$I$89,3,0)*VLOOKUP('Données projet'!$B$15,Paramètres!$A$1:$I$89,5,0)</f>
        <v>-3.177547114319168E-13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326.31232746914907</v>
      </c>
      <c r="EP152" s="59">
        <f t="shared" si="154"/>
        <v>330.17137761430297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0.43273187973566829</v>
      </c>
      <c r="EW152" s="21">
        <f>EXP(-LN(2)/25)*EW151+(1-EXP(-LN(2)/25))/(LN(2)/25)*Calculateur!ER152*Calculateur!ET152*VLOOKUP('Données projet'!$B$15,Paramètres!$A$1:$I$89,3,0)*0.475*44/12</f>
        <v>1.113563452463548</v>
      </c>
      <c r="EX152" s="21">
        <f>EXP(-LN(2)/2)*EX151+(1-EXP(-LN(2)/2))/(LN(2)/2)*ER152*EU152*VLOOKUP('Données projet'!$B$15,Paramètres!$A$1:$I$89,3,0)*0.475*44/12</f>
        <v>3.9892723196146622E-17</v>
      </c>
      <c r="EY152" s="22">
        <f t="shared" si="129"/>
        <v>1.5462953321992163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255.41017495879987</v>
      </c>
      <c r="FK152" s="59">
        <f t="shared" si="156"/>
        <v>297.50513563712764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0.79044470209644235</v>
      </c>
      <c r="FR152" s="21">
        <f>EXP(-LN(2)/25)*FR151+(1-EXP(-LN(2)/25))/(LN(2)/25)*Calculateur!FM152*Calculateur!FO152*VLOOKUP('Données projet'!$B$16,Paramètres!$A$1:$I$89,3,0)*0.475*44/12</f>
        <v>1.0285659137611196</v>
      </c>
      <c r="FS152" s="21">
        <f>EXP(-LN(2)/2)*FS151+(1-EXP(-LN(2)/2))/(LN(2)/2)*FM152*FP152*VLOOKUP('Données projet'!$B$16,Paramètres!$A$1:$I$89,3,0)*0.475*44/12</f>
        <v>2.9931348583567745E-17</v>
      </c>
      <c r="FT152" s="22">
        <f t="shared" si="132"/>
        <v>1.8190106158575619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1.1368683772161603E-13</v>
      </c>
      <c r="GA152" s="17">
        <f>FZ152*VLOOKUP('Données projet'!$B$17,Paramètres!$A$1:$I$89,3,0)*VLOOKUP('Données projet'!$B$17,Paramètres!$A$1:$I$89,5,0)</f>
        <v>6.7984728957526396E-14</v>
      </c>
      <c r="GB152" s="13">
        <f t="shared" si="157"/>
        <v>1.0682447123141398E-12</v>
      </c>
      <c r="GC152" s="20">
        <f t="shared" si="133"/>
        <v>1.978932943548152E-12</v>
      </c>
      <c r="GD152" s="59">
        <f t="shared" si="134"/>
        <v>293.3333333333353</v>
      </c>
      <c r="GE152" s="59">
        <f ca="1">AVERAGE(OFFSET($GD$3,0,0,'Données projet'!$E$17+1,1))-AVERAGE(OFFSET($H$3,0,0,'Données projet'!$E$17+1,1))</f>
        <v>259.30247982593914</v>
      </c>
      <c r="GF152" s="59">
        <f t="shared" si="158"/>
        <v>275.24740346220779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</v>
      </c>
      <c r="GM152" s="21">
        <f>EXP(-LN(2)/25)*GM151+(1-EXP(-LN(2)/25))/(LN(2)/25)*Calculateur!GH152*Calculateur!GJ152*VLOOKUP('Données projet'!$B$17,Paramètres!$A$1:$I$89,3,0)*0.475*44/12</f>
        <v>0.66552675169539288</v>
      </c>
      <c r="GN152" s="21">
        <f>EXP(-LN(2)/2)*GN151+(1-EXP(-LN(2)/2))/(LN(2)/2)*GH152*GK152*VLOOKUP('Données projet'!$B$17,Paramètres!$A$1:$I$89,3,0)*0.475*44/12</f>
        <v>3.5180460893789978E-17</v>
      </c>
      <c r="GO152" s="21">
        <f t="shared" si="135"/>
        <v>0.66552675169539288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5.6843418860808015E-14</v>
      </c>
      <c r="GV152" s="17">
        <f>GU152*VLOOKUP('Données projet'!$B$18,Paramètres!$A$1:$I$89,3,0)*VLOOKUP('Données projet'!$B$18,Paramètres!$A$1:$I$89,5,0)</f>
        <v>4.5224624045658861E-14</v>
      </c>
      <c r="GW152" s="13">
        <f t="shared" si="159"/>
        <v>7.4514601661523691E-13</v>
      </c>
      <c r="GX152" s="20">
        <f t="shared" si="136"/>
        <v>1.3765621991510601E-12</v>
      </c>
      <c r="GY152" s="59">
        <f t="shared" si="137"/>
        <v>293.33333333333468</v>
      </c>
      <c r="GZ152" s="59">
        <f ca="1">AVERAGE(OFFSET($GY$3,0,0,'Données projet'!$E$18+1,1))-AVERAGE(OFFSET($H$3,0,0,'Données projet'!$E$18+1,1))</f>
        <v>199.58763537752952</v>
      </c>
      <c r="HA152" s="59">
        <f t="shared" si="160"/>
        <v>242.62852778451929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0</v>
      </c>
      <c r="HH152" s="21">
        <f>EXP(-LN(2)/25)*HH151+(1-EXP(-LN(2)/25))/(LN(2)/25)*Calculateur!HC152*Calculateur!HE152*VLOOKUP('Données projet'!$B$18,Paramètres!$A$1:$I$89,3,0)*0.475*44/12</f>
        <v>0.37950374212587218</v>
      </c>
      <c r="HI152" s="21">
        <f>EXP(-LN(2)/2)*HI151+(1-EXP(-LN(2)/2))/(LN(2)/2)*HC152*HF152*VLOOKUP('Données projet'!$B$18,Paramètres!$A$1:$I$89,3,0)*0.475*44/12</f>
        <v>1.3200501310062618E-17</v>
      </c>
      <c r="HJ152" s="22">
        <f t="shared" si="138"/>
        <v>0.37950374212587218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-1.0286385077051818E-13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237.22177246688199</v>
      </c>
      <c r="T153" s="59">
        <f t="shared" si="142"/>
        <v>149.27472147904302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0.111493314670677</v>
      </c>
      <c r="AB153" s="21">
        <f>EXP(-LN(2)/2)*AB152+(1-EXP(-LN(2)/2))/(LN(2)/2)*V153*Y153*VLOOKUP('Données projet'!$B$9,Paramètres!$A$1:$I$89,3,0)*0.475*44/12</f>
        <v>5.3684035120318372E-18</v>
      </c>
      <c r="AC153" s="22">
        <f t="shared" si="111"/>
        <v>0.111493314670677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-1.1527845344971866E-13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279.20364724206644</v>
      </c>
      <c r="AO153" s="59">
        <f t="shared" si="144"/>
        <v>173.99850582760712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0.12494940437231029</v>
      </c>
      <c r="AW153" s="21">
        <f>EXP(-LN(2)/2)*AW152+(1-EXP(-LN(2)/2))/(LN(2)/2)*AQ153*AT153*VLOOKUP('Données projet'!$B$10,Paramètres!$A$1:$I$89,3,0)*0.475*44/12</f>
        <v>6.0163142807253338E-18</v>
      </c>
      <c r="AX153" s="21">
        <f t="shared" si="114"/>
        <v>0.12494940437231029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-5.3205440053716299E-14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215.23235148064941</v>
      </c>
      <c r="BJ153" s="59">
        <f t="shared" si="146"/>
        <v>184.07239726900434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0.29112314744620216</v>
      </c>
      <c r="BQ153" s="21">
        <f>EXP(-LN(2)/25)*BQ152+(1-EXP(-LN(2)/25))/(LN(2)/25)*Calculateur!BL153*Calculateur!BN153*VLOOKUP('Données projet'!$B$11,Paramètres!$A$1:$I$89,3,0)*0.475*44/12</f>
        <v>0.28198621816155833</v>
      </c>
      <c r="BR153" s="21">
        <f>EXP(-LN(2)/2)*BR152+(1-EXP(-LN(2)/2))/(LN(2)/2)*BL153*BO153*VLOOKUP('Données projet'!$B$11,Paramètres!$A$1:$I$89,3,0)*0.475*44/12</f>
        <v>8.5280536801582359E-18</v>
      </c>
      <c r="BS153" s="22">
        <f t="shared" si="117"/>
        <v>0.57310936560776049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-1.223725121235475E-13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303.1504619632214</v>
      </c>
      <c r="CE153" s="59">
        <f t="shared" si="148"/>
        <v>188.09929616366503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0.13263859848752949</v>
      </c>
      <c r="CM153" s="21">
        <f>EXP(-LN(2)/2)*CM152+(1-EXP(-LN(2)/2))/(LN(2)/2)*CG153*CJ153*VLOOKUP('Données projet'!$B$12,Paramètres!$A$1:$I$89,3,0)*0.475*44/12</f>
        <v>6.3865490056930588E-18</v>
      </c>
      <c r="CN153" s="22">
        <f t="shared" si="120"/>
        <v>0.13263859848752949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5.6843418860808015E-14</v>
      </c>
      <c r="CU153" s="17">
        <f>CT153*VLOOKUP('Données projet'!$B$13,Paramètres!$A$1:$I$89,3,0)*VLOOKUP('Données projet'!$B$13,Paramètres!$A$1:$I$89,5,0)</f>
        <v>3.813056537183002E-14</v>
      </c>
      <c r="CV153" s="13">
        <f t="shared" si="149"/>
        <v>6.4086286045526829E-13</v>
      </c>
      <c r="CW153" s="20">
        <f t="shared" si="121"/>
        <v>1.1825802166488628E-12</v>
      </c>
      <c r="CX153" s="59">
        <f t="shared" si="122"/>
        <v>293.33333333333451</v>
      </c>
      <c r="CY153" s="59">
        <f ca="1">AVERAGE(OFFSET($CX$3,0,0,'Données projet'!$E$13+1,1))-AVERAGE(OFFSET($H$3,0,0,'Données projet'!$E$13+1,1))</f>
        <v>156.63226020379989</v>
      </c>
      <c r="CZ153" s="59">
        <f t="shared" si="150"/>
        <v>196.0481096619543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0.31122404452213454</v>
      </c>
      <c r="DH153" s="21">
        <f>EXP(-LN(2)/2)*DH152+(1-EXP(-LN(2)/2))/(LN(2)/2)*DB153*DE153*VLOOKUP('Données projet'!$B$13,Paramètres!$A$1:$I$89,3,0)*0.475*44/12</f>
        <v>7.869981404519773E-18</v>
      </c>
      <c r="DI153" s="22">
        <f t="shared" si="123"/>
        <v>0.31122404452213454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-8.5265128291212022E-14</v>
      </c>
      <c r="DP153" s="17">
        <f>DO153*VLOOKUP('Données projet'!$B$14,Paramètres!$A$1:$I$89,3,0)*VLOOKUP('Données projet'!$B$14,Paramètres!$A$1:$I$89,5,0)</f>
        <v>-7.7147888077888636E-14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225.28075317732998</v>
      </c>
      <c r="DU153" s="59">
        <f t="shared" si="152"/>
        <v>358.43407531256207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0.20836649862787068</v>
      </c>
      <c r="EB153" s="21">
        <f>EXP(-LN(2)/25)*EB152+(1-EXP(-LN(2)/25))/(LN(2)/25)*Calculateur!DW153*Calculateur!DY153*VLOOKUP('Données projet'!$B$14,Paramètres!$A$1:$I$89,3,0)*0.475*44/12</f>
        <v>0.29694055940089287</v>
      </c>
      <c r="EC153" s="21">
        <f>EXP(-LN(2)/2)*EC152+(1-EXP(-LN(2)/2))/(LN(2)/2)*DW153*DZ153*VLOOKUP('Données projet'!$B$14,Paramètres!$A$1:$I$89,3,0)*0.475*44/12</f>
        <v>3.8285530257974769E-18</v>
      </c>
      <c r="ED153" s="22">
        <f t="shared" si="126"/>
        <v>0.50530705802876352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-5.6843418860808015E-13</v>
      </c>
      <c r="EK153" s="17">
        <f>EJ153*VLOOKUP('Données projet'!$B$15,Paramètres!$A$1:$I$89,3,0)*VLOOKUP('Données projet'!$B$15,Paramètres!$A$1:$I$89,5,0)</f>
        <v>-3.177547114319168E-13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326.31232746914907</v>
      </c>
      <c r="EP153" s="59">
        <f t="shared" si="154"/>
        <v>330.17137761430297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0.4242462715144365</v>
      </c>
      <c r="EW153" s="21">
        <f>EXP(-LN(2)/25)*EW152+(1-EXP(-LN(2)/25))/(LN(2)/25)*Calculateur!ER153*Calculateur!ET153*VLOOKUP('Données projet'!$B$15,Paramètres!$A$1:$I$89,3,0)*0.475*44/12</f>
        <v>1.0831130012961754</v>
      </c>
      <c r="EX153" s="21">
        <f>EXP(-LN(2)/2)*EX152+(1-EXP(-LN(2)/2))/(LN(2)/2)*ER153*EU153*VLOOKUP('Données projet'!$B$15,Paramètres!$A$1:$I$89,3,0)*0.475*44/12</f>
        <v>2.8208415091993158E-17</v>
      </c>
      <c r="EY153" s="22">
        <f t="shared" si="129"/>
        <v>1.507359272810612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255.41017495879987</v>
      </c>
      <c r="FK153" s="59">
        <f t="shared" si="156"/>
        <v>297.50513563712764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0.7749445636119936</v>
      </c>
      <c r="FR153" s="21">
        <f>EXP(-LN(2)/25)*FR152+(1-EXP(-LN(2)/25))/(LN(2)/25)*Calculateur!FM153*Calculateur!FO153*VLOOKUP('Données projet'!$B$16,Paramètres!$A$1:$I$89,3,0)*0.475*44/12</f>
        <v>1.0004397247593912</v>
      </c>
      <c r="FS153" s="21">
        <f>EXP(-LN(2)/2)*FS152+(1-EXP(-LN(2)/2))/(LN(2)/2)*FM153*FP153*VLOOKUP('Données projet'!$B$16,Paramètres!$A$1:$I$89,3,0)*0.475*44/12</f>
        <v>2.1164659553499117E-17</v>
      </c>
      <c r="FT153" s="22">
        <f t="shared" si="132"/>
        <v>1.7753842883713848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1.1368683772161603E-13</v>
      </c>
      <c r="GA153" s="17">
        <f>FZ153*VLOOKUP('Données projet'!$B$17,Paramètres!$A$1:$I$89,3,0)*VLOOKUP('Données projet'!$B$17,Paramètres!$A$1:$I$89,5,0)</f>
        <v>6.7984728957526396E-14</v>
      </c>
      <c r="GB153" s="13">
        <f t="shared" si="157"/>
        <v>1.0682447123141398E-12</v>
      </c>
      <c r="GC153" s="20">
        <f t="shared" si="133"/>
        <v>1.978932943548152E-12</v>
      </c>
      <c r="GD153" s="59">
        <f t="shared" si="134"/>
        <v>293.3333333333353</v>
      </c>
      <c r="GE153" s="59">
        <f ca="1">AVERAGE(OFFSET($GD$3,0,0,'Données projet'!$E$17+1,1))-AVERAGE(OFFSET($H$3,0,0,'Données projet'!$E$17+1,1))</f>
        <v>259.30247982593914</v>
      </c>
      <c r="GF153" s="59">
        <f t="shared" si="158"/>
        <v>275.24740346220779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</v>
      </c>
      <c r="GM153" s="21">
        <f>EXP(-LN(2)/25)*GM152+(1-EXP(-LN(2)/25))/(LN(2)/25)*Calculateur!GH153*Calculateur!GJ153*VLOOKUP('Données projet'!$B$17,Paramètres!$A$1:$I$89,3,0)*0.475*44/12</f>
        <v>0.64732788767175153</v>
      </c>
      <c r="GN153" s="21">
        <f>EXP(-LN(2)/2)*GN152+(1-EXP(-LN(2)/2))/(LN(2)/2)*GH153*GK153*VLOOKUP('Données projet'!$B$17,Paramètres!$A$1:$I$89,3,0)*0.475*44/12</f>
        <v>2.4876342463267042E-17</v>
      </c>
      <c r="GO153" s="21">
        <f t="shared" si="135"/>
        <v>0.64732788767175153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5.6843418860808015E-14</v>
      </c>
      <c r="GV153" s="17">
        <f>GU153*VLOOKUP('Données projet'!$B$18,Paramètres!$A$1:$I$89,3,0)*VLOOKUP('Données projet'!$B$18,Paramètres!$A$1:$I$89,5,0)</f>
        <v>4.5224624045658861E-14</v>
      </c>
      <c r="GW153" s="13">
        <f t="shared" si="159"/>
        <v>7.4514601661523691E-13</v>
      </c>
      <c r="GX153" s="20">
        <f t="shared" si="136"/>
        <v>1.3765621991510601E-12</v>
      </c>
      <c r="GY153" s="59">
        <f t="shared" si="137"/>
        <v>293.33333333333468</v>
      </c>
      <c r="GZ153" s="59">
        <f ca="1">AVERAGE(OFFSET($GY$3,0,0,'Données projet'!$E$18+1,1))-AVERAGE(OFFSET($H$3,0,0,'Données projet'!$E$18+1,1))</f>
        <v>199.58763537752952</v>
      </c>
      <c r="HA153" s="59">
        <f t="shared" si="160"/>
        <v>242.62852778451929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0</v>
      </c>
      <c r="HH153" s="21">
        <f>EXP(-LN(2)/25)*HH152+(1-EXP(-LN(2)/25))/(LN(2)/25)*Calculateur!HC153*Calculateur!HE153*VLOOKUP('Données projet'!$B$18,Paramètres!$A$1:$I$89,3,0)*0.475*44/12</f>
        <v>0.36912619234020577</v>
      </c>
      <c r="HI153" s="21">
        <f>EXP(-LN(2)/2)*HI152+(1-EXP(-LN(2)/2))/(LN(2)/2)*HC153*HF153*VLOOKUP('Données projet'!$B$18,Paramètres!$A$1:$I$89,3,0)*0.475*44/12</f>
        <v>9.3341639914071814E-18</v>
      </c>
      <c r="HJ153" s="22">
        <f t="shared" si="138"/>
        <v>0.36912619234020577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-1.0286385077051818E-13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237.22177246688199</v>
      </c>
      <c r="T154" s="59">
        <f t="shared" si="142"/>
        <v>149.27472147904302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0.10844452411782873</v>
      </c>
      <c r="AB154" s="21">
        <f>EXP(-LN(2)/2)*AB153+(1-EXP(-LN(2)/2))/(LN(2)/2)*V154*Y154*VLOOKUP('Données projet'!$B$9,Paramètres!$A$1:$I$89,3,0)*0.475*44/12</f>
        <v>3.7960345275033895E-18</v>
      </c>
      <c r="AC154" s="22">
        <f t="shared" ref="AC154:AC203" si="163">SUM(Z154:AB154)</f>
        <v>0.10844452411782873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-1.1527845344971866E-13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279.20364724206644</v>
      </c>
      <c r="AO154" s="59">
        <f t="shared" si="144"/>
        <v>173.99850582760712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0.12153265633894587</v>
      </c>
      <c r="AW154" s="21">
        <f>EXP(-LN(2)/2)*AW153+(1-EXP(-LN(2)/2))/(LN(2)/2)*AQ154*AT154*VLOOKUP('Données projet'!$B$10,Paramètres!$A$1:$I$89,3,0)*0.475*44/12</f>
        <v>4.2541766256503497E-18</v>
      </c>
      <c r="AX154" s="21">
        <f t="shared" ref="AX154:AX203" si="166">SUM(AU154:AW154)</f>
        <v>0.12153265633894587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-5.3205440053716299E-14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215.23235148064941</v>
      </c>
      <c r="BJ154" s="59">
        <f t="shared" si="146"/>
        <v>184.07239726900434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0.28541440009236874</v>
      </c>
      <c r="BQ154" s="21">
        <f>EXP(-LN(2)/25)*BQ153+(1-EXP(-LN(2)/25))/(LN(2)/25)*Calculateur!BL154*Calculateur!BN154*VLOOKUP('Données projet'!$B$11,Paramètres!$A$1:$I$89,3,0)*0.475*44/12</f>
        <v>0.27427529019691982</v>
      </c>
      <c r="BR154" s="21">
        <f>EXP(-LN(2)/2)*BR153+(1-EXP(-LN(2)/2))/(LN(2)/2)*BL154*BO154*VLOOKUP('Données projet'!$B$11,Paramètres!$A$1:$I$89,3,0)*0.475*44/12</f>
        <v>6.0302445875627812E-18</v>
      </c>
      <c r="BS154" s="22">
        <f t="shared" ref="BS154:BS203" si="169">SUM(BP154:BR154)</f>
        <v>0.5596896902892885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-1.223725121235475E-13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303.1504619632214</v>
      </c>
      <c r="CE154" s="59">
        <f t="shared" si="148"/>
        <v>188.09929616366503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0.12901158903672724</v>
      </c>
      <c r="CM154" s="21">
        <f>EXP(-LN(2)/2)*CM153+(1-EXP(-LN(2)/2))/(LN(2)/2)*CG154*CJ154*VLOOKUP('Données projet'!$B$12,Paramètres!$A$1:$I$89,3,0)*0.475*44/12</f>
        <v>4.5159721103057643E-18</v>
      </c>
      <c r="CN154" s="22">
        <f t="shared" ref="CN154:CN203" si="172">SUM(CK154:CM154)</f>
        <v>0.12901158903672724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5.6843418860808015E-14</v>
      </c>
      <c r="CU154" s="17">
        <f>CT154*VLOOKUP('Données projet'!$B$13,Paramètres!$A$1:$I$89,3,0)*VLOOKUP('Données projet'!$B$13,Paramètres!$A$1:$I$89,5,0)</f>
        <v>3.813056537183002E-14</v>
      </c>
      <c r="CV154" s="13">
        <f t="shared" ref="CV154:CV203" si="173">EXP(-1.0587+0.8836*LN(CU154)+0.284)</f>
        <v>6.4086286045526829E-13</v>
      </c>
      <c r="CW154" s="20">
        <f t="shared" ref="CW154:CW203" si="174">(CU154+CV154)*0.475*44/12</f>
        <v>1.1825802166488628E-12</v>
      </c>
      <c r="CX154" s="59">
        <f t="shared" si="122"/>
        <v>293.33333333333451</v>
      </c>
      <c r="CY154" s="59">
        <f ca="1">AVERAGE(OFFSET($CX$3,0,0,'Données projet'!$E$13+1,1))-AVERAGE(OFFSET($H$3,0,0,'Données projet'!$E$13+1,1))</f>
        <v>156.63226020379989</v>
      </c>
      <c r="CZ154" s="59">
        <f t="shared" si="150"/>
        <v>196.0481096619543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0.30271360665811559</v>
      </c>
      <c r="DH154" s="21">
        <f>EXP(-LN(2)/2)*DH153+(1-EXP(-LN(2)/2))/(LN(2)/2)*DB154*DE154*VLOOKUP('Données projet'!$B$13,Paramètres!$A$1:$I$89,3,0)*0.475*44/12</f>
        <v>5.5649172189479611E-18</v>
      </c>
      <c r="DI154" s="22">
        <f t="shared" ref="DI154:DI203" si="175">SUM(DF154:DH154)</f>
        <v>0.30271360665811559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-8.5265128291212022E-14</v>
      </c>
      <c r="DP154" s="17">
        <f>DO154*VLOOKUP('Données projet'!$B$14,Paramètres!$A$1:$I$89,3,0)*VLOOKUP('Données projet'!$B$14,Paramètres!$A$1:$I$89,5,0)</f>
        <v>-7.7147888077888636E-14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225.28075317732998</v>
      </c>
      <c r="DU154" s="59">
        <f t="shared" si="152"/>
        <v>358.43407531256207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0.20428055868079312</v>
      </c>
      <c r="EB154" s="21">
        <f>EXP(-LN(2)/25)*EB153+(1-EXP(-LN(2)/25))/(LN(2)/25)*Calculateur!DW154*Calculateur!DY154*VLOOKUP('Données projet'!$B$14,Paramètres!$A$1:$I$89,3,0)*0.475*44/12</f>
        <v>0.28882070418865008</v>
      </c>
      <c r="EC154" s="21">
        <f>EXP(-LN(2)/2)*EC153+(1-EXP(-LN(2)/2))/(LN(2)/2)*DW154*DZ154*VLOOKUP('Données projet'!$B$14,Paramètres!$A$1:$I$89,3,0)*0.475*44/12</f>
        <v>2.7071958066736709E-18</v>
      </c>
      <c r="ED154" s="22">
        <f t="shared" ref="ED154:ED203" si="178">SUM(EA154:EC154)</f>
        <v>0.49310126286944322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-5.6843418860808015E-13</v>
      </c>
      <c r="EK154" s="17">
        <f>EJ154*VLOOKUP('Données projet'!$B$15,Paramètres!$A$1:$I$89,3,0)*VLOOKUP('Données projet'!$B$15,Paramètres!$A$1:$I$89,5,0)</f>
        <v>-3.177547114319168E-13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326.31232746914907</v>
      </c>
      <c r="EP154" s="59">
        <f t="shared" si="154"/>
        <v>330.17137761430297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0.41592706089471315</v>
      </c>
      <c r="EW154" s="21">
        <f>EXP(-LN(2)/25)*EW153+(1-EXP(-LN(2)/25))/(LN(2)/25)*Calculateur!ER154*Calculateur!ET154*VLOOKUP('Données projet'!$B$15,Paramètres!$A$1:$I$89,3,0)*0.475*44/12</f>
        <v>1.0534952193172942</v>
      </c>
      <c r="EX154" s="21">
        <f>EXP(-LN(2)/2)*EX153+(1-EXP(-LN(2)/2))/(LN(2)/2)*ER154*EU154*VLOOKUP('Données projet'!$B$15,Paramètres!$A$1:$I$89,3,0)*0.475*44/12</f>
        <v>1.9946361598073311E-17</v>
      </c>
      <c r="EY154" s="22">
        <f t="shared" ref="EY154:EY203" si="181">SUM(EV154:EX154)</f>
        <v>1.4694222802120074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255.41017495879987</v>
      </c>
      <c r="FK154" s="59">
        <f t="shared" si="156"/>
        <v>297.50513563712764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0.75974837338907397</v>
      </c>
      <c r="FR154" s="21">
        <f>EXP(-LN(2)/25)*FR153+(1-EXP(-LN(2)/25))/(LN(2)/25)*Calculateur!FM154*Calculateur!FO154*VLOOKUP('Données projet'!$B$16,Paramètres!$A$1:$I$89,3,0)*0.475*44/12</f>
        <v>0.97308264787500709</v>
      </c>
      <c r="FS154" s="21">
        <f>EXP(-LN(2)/2)*FS153+(1-EXP(-LN(2)/2))/(LN(2)/2)*FM154*FP154*VLOOKUP('Données projet'!$B$16,Paramètres!$A$1:$I$89,3,0)*0.475*44/12</f>
        <v>1.4965674291783872E-17</v>
      </c>
      <c r="FT154" s="22">
        <f t="shared" ref="FT154:FT203" si="184">SUM(FQ154:FS154)</f>
        <v>1.7328310212640812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1.1368683772161603E-13</v>
      </c>
      <c r="GA154" s="17">
        <f>FZ154*VLOOKUP('Données projet'!$B$17,Paramètres!$A$1:$I$89,3,0)*VLOOKUP('Données projet'!$B$17,Paramètres!$A$1:$I$89,5,0)</f>
        <v>6.7984728957526396E-14</v>
      </c>
      <c r="GB154" s="13">
        <f t="shared" ref="GB154:GB203" si="185">EXP(-1.0587+0.8836*LN(GA154)+0.284)</f>
        <v>1.0682447123141398E-12</v>
      </c>
      <c r="GC154" s="20">
        <f t="shared" ref="GC154:GC203" si="186">(GA154+GB154)*0.475*44/12</f>
        <v>1.978932943548152E-12</v>
      </c>
      <c r="GD154" s="59">
        <f t="shared" si="134"/>
        <v>293.3333333333353</v>
      </c>
      <c r="GE154" s="59">
        <f ca="1">AVERAGE(OFFSET($GD$3,0,0,'Données projet'!$E$17+1,1))-AVERAGE(OFFSET($H$3,0,0,'Données projet'!$E$17+1,1))</f>
        <v>259.30247982593914</v>
      </c>
      <c r="GF154" s="59">
        <f t="shared" si="158"/>
        <v>275.24740346220779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</v>
      </c>
      <c r="GM154" s="21">
        <f>EXP(-LN(2)/25)*GM153+(1-EXP(-LN(2)/25))/(LN(2)/25)*Calculateur!GH154*Calculateur!GJ154*VLOOKUP('Données projet'!$B$17,Paramètres!$A$1:$I$89,3,0)*0.475*44/12</f>
        <v>0.62962667254187332</v>
      </c>
      <c r="GN154" s="21">
        <f>EXP(-LN(2)/2)*GN153+(1-EXP(-LN(2)/2))/(LN(2)/2)*GH154*GK154*VLOOKUP('Données projet'!$B$17,Paramètres!$A$1:$I$89,3,0)*0.475*44/12</f>
        <v>1.7590230446894989E-17</v>
      </c>
      <c r="GO154" s="21">
        <f t="shared" ref="GO154:GO203" si="187">SUM(GL154:GN154)</f>
        <v>0.62962667254187332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5.6843418860808015E-14</v>
      </c>
      <c r="GV154" s="17">
        <f>GU154*VLOOKUP('Données projet'!$B$18,Paramètres!$A$1:$I$89,3,0)*VLOOKUP('Données projet'!$B$18,Paramètres!$A$1:$I$89,5,0)</f>
        <v>4.5224624045658861E-14</v>
      </c>
      <c r="GW154" s="13">
        <f t="shared" ref="GW154:GW203" si="188">EXP(-1.0587+0.8836*LN(GV154)+0.284)</f>
        <v>7.4514601661523691E-13</v>
      </c>
      <c r="GX154" s="20">
        <f t="shared" ref="GX154:GX203" si="189">(GV154+GW154)*0.475*44/12</f>
        <v>1.3765621991510601E-12</v>
      </c>
      <c r="GY154" s="59">
        <f t="shared" si="137"/>
        <v>293.33333333333468</v>
      </c>
      <c r="GZ154" s="59">
        <f ca="1">AVERAGE(OFFSET($GY$3,0,0,'Données projet'!$E$18+1,1))-AVERAGE(OFFSET($H$3,0,0,'Données projet'!$E$18+1,1))</f>
        <v>199.58763537752952</v>
      </c>
      <c r="HA154" s="59">
        <f t="shared" si="160"/>
        <v>242.62852778451929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0</v>
      </c>
      <c r="HH154" s="21">
        <f>EXP(-LN(2)/25)*HH153+(1-EXP(-LN(2)/25))/(LN(2)/25)*Calculateur!HC154*Calculateur!HE154*VLOOKUP('Données projet'!$B$18,Paramètres!$A$1:$I$89,3,0)*0.475*44/12</f>
        <v>0.35903241719916001</v>
      </c>
      <c r="HI154" s="21">
        <f>EXP(-LN(2)/2)*HI153+(1-EXP(-LN(2)/2))/(LN(2)/2)*HC154*HF154*VLOOKUP('Données projet'!$B$18,Paramètres!$A$1:$I$89,3,0)*0.475*44/12</f>
        <v>6.600250655031309E-18</v>
      </c>
      <c r="HJ154" s="22">
        <f t="shared" ref="HJ154:HJ203" si="190">SUM(HG154:HI154)</f>
        <v>0.35903241719916001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-1.0286385077051818E-13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237.22177246688199</v>
      </c>
      <c r="T155" s="59">
        <f t="shared" si="142"/>
        <v>149.27472147904302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0.10547910290297703</v>
      </c>
      <c r="AB155" s="21">
        <f>EXP(-LN(2)/2)*AB154+(1-EXP(-LN(2)/2))/(LN(2)/2)*V155*Y155*VLOOKUP('Données projet'!$B$9,Paramètres!$A$1:$I$89,3,0)*0.475*44/12</f>
        <v>2.6842017560159186E-18</v>
      </c>
      <c r="AC155" s="22">
        <f t="shared" si="163"/>
        <v>0.10547910290297703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-1.1527845344971866E-13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279.20364724206644</v>
      </c>
      <c r="AO155" s="59">
        <f t="shared" si="144"/>
        <v>173.99850582760712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0.11820933946023277</v>
      </c>
      <c r="AW155" s="21">
        <f>EXP(-LN(2)/2)*AW154+(1-EXP(-LN(2)/2))/(LN(2)/2)*AQ155*AT155*VLOOKUP('Données projet'!$B$10,Paramètres!$A$1:$I$89,3,0)*0.475*44/12</f>
        <v>3.0081571403626669E-18</v>
      </c>
      <c r="AX155" s="21">
        <f t="shared" si="166"/>
        <v>0.11820933946023277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-5.3205440053716299E-14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215.23235148064941</v>
      </c>
      <c r="BJ155" s="59">
        <f t="shared" si="146"/>
        <v>184.07239726900434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0.27981759779215193</v>
      </c>
      <c r="BQ155" s="21">
        <f>EXP(-LN(2)/25)*BQ154+(1-EXP(-LN(2)/25))/(LN(2)/25)*Calculateur!BL155*Calculateur!BN155*VLOOKUP('Données projet'!$B$11,Paramètres!$A$1:$I$89,3,0)*0.475*44/12</f>
        <v>0.26677521796297438</v>
      </c>
      <c r="BR155" s="21">
        <f>EXP(-LN(2)/2)*BR154+(1-EXP(-LN(2)/2))/(LN(2)/2)*BL155*BO155*VLOOKUP('Données projet'!$B$11,Paramètres!$A$1:$I$89,3,0)*0.475*44/12</f>
        <v>4.264026840079118E-18</v>
      </c>
      <c r="BS155" s="22">
        <f t="shared" si="169"/>
        <v>0.5465928157551263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-1.223725121235475E-13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303.1504619632214</v>
      </c>
      <c r="CE155" s="59">
        <f t="shared" si="148"/>
        <v>188.09929616366503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0.12548376035009332</v>
      </c>
      <c r="CM155" s="21">
        <f>EXP(-LN(2)/2)*CM154+(1-EXP(-LN(2)/2))/(LN(2)/2)*CG155*CJ155*VLOOKUP('Données projet'!$B$12,Paramètres!$A$1:$I$89,3,0)*0.475*44/12</f>
        <v>3.1932745028465294E-18</v>
      </c>
      <c r="CN155" s="22">
        <f t="shared" si="172"/>
        <v>0.12548376035009332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5.6843418860808015E-14</v>
      </c>
      <c r="CU155" s="17">
        <f>CT155*VLOOKUP('Données projet'!$B$13,Paramètres!$A$1:$I$89,3,0)*VLOOKUP('Données projet'!$B$13,Paramètres!$A$1:$I$89,5,0)</f>
        <v>3.813056537183002E-14</v>
      </c>
      <c r="CV155" s="13">
        <f t="shared" si="173"/>
        <v>6.4086286045526829E-13</v>
      </c>
      <c r="CW155" s="20">
        <f t="shared" si="174"/>
        <v>1.1825802166488628E-12</v>
      </c>
      <c r="CX155" s="59">
        <f t="shared" si="122"/>
        <v>293.33333333333451</v>
      </c>
      <c r="CY155" s="59">
        <f ca="1">AVERAGE(OFFSET($CX$3,0,0,'Données projet'!$E$13+1,1))-AVERAGE(OFFSET($H$3,0,0,'Données projet'!$E$13+1,1))</f>
        <v>156.63226020379989</v>
      </c>
      <c r="CZ155" s="59">
        <f t="shared" si="150"/>
        <v>196.0481096619543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0.29443588716503272</v>
      </c>
      <c r="DH155" s="21">
        <f>EXP(-LN(2)/2)*DH154+(1-EXP(-LN(2)/2))/(LN(2)/2)*DB155*DE155*VLOOKUP('Données projet'!$B$13,Paramètres!$A$1:$I$89,3,0)*0.475*44/12</f>
        <v>3.9349907022598865E-18</v>
      </c>
      <c r="DI155" s="22">
        <f t="shared" si="175"/>
        <v>0.29443588716503272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-8.5265128291212022E-14</v>
      </c>
      <c r="DP155" s="17">
        <f>DO155*VLOOKUP('Données projet'!$B$14,Paramètres!$A$1:$I$89,3,0)*VLOOKUP('Données projet'!$B$14,Paramètres!$A$1:$I$89,5,0)</f>
        <v>-7.7147888077888636E-14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225.28075317732998</v>
      </c>
      <c r="DU155" s="59">
        <f t="shared" si="152"/>
        <v>358.43407531256207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0.20027474152390046</v>
      </c>
      <c r="EB155" s="21">
        <f>EXP(-LN(2)/25)*EB154+(1-EXP(-LN(2)/25))/(LN(2)/25)*Calculateur!DW155*Calculateur!DY155*VLOOKUP('Données projet'!$B$14,Paramètres!$A$1:$I$89,3,0)*0.475*44/12</f>
        <v>0.2809228868441907</v>
      </c>
      <c r="EC155" s="21">
        <f>EXP(-LN(2)/2)*EC154+(1-EXP(-LN(2)/2))/(LN(2)/2)*DW155*DZ155*VLOOKUP('Données projet'!$B$14,Paramètres!$A$1:$I$89,3,0)*0.475*44/12</f>
        <v>1.9142765128987384E-18</v>
      </c>
      <c r="ED155" s="22">
        <f t="shared" si="178"/>
        <v>0.48119762836809116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-5.6843418860808015E-13</v>
      </c>
      <c r="EK155" s="17">
        <f>EJ155*VLOOKUP('Données projet'!$B$15,Paramètres!$A$1:$I$89,3,0)*VLOOKUP('Données projet'!$B$15,Paramètres!$A$1:$I$89,5,0)</f>
        <v>-3.177547114319168E-13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326.31232746914907</v>
      </c>
      <c r="EP155" s="59">
        <f t="shared" si="154"/>
        <v>330.17137761430297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0.40777098492102515</v>
      </c>
      <c r="EW155" s="21">
        <f>EXP(-LN(2)/25)*EW154+(1-EXP(-LN(2)/25))/(LN(2)/25)*Calculateur!ER155*Calculateur!ET155*VLOOKUP('Données projet'!$B$15,Paramètres!$A$1:$I$89,3,0)*0.475*44/12</f>
        <v>1.0246873371441569</v>
      </c>
      <c r="EX155" s="21">
        <f>EXP(-LN(2)/2)*EX154+(1-EXP(-LN(2)/2))/(LN(2)/2)*ER155*EU155*VLOOKUP('Données projet'!$B$15,Paramètres!$A$1:$I$89,3,0)*0.475*44/12</f>
        <v>1.4104207545996579E-17</v>
      </c>
      <c r="EY155" s="22">
        <f t="shared" si="181"/>
        <v>1.4324583220651821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255.41017495879987</v>
      </c>
      <c r="FK155" s="59">
        <f t="shared" si="156"/>
        <v>297.50513563712764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0.74485017118766494</v>
      </c>
      <c r="FR155" s="21">
        <f>EXP(-LN(2)/25)*FR154+(1-EXP(-LN(2)/25))/(LN(2)/25)*Calculateur!FM155*Calculateur!FO155*VLOOKUP('Données projet'!$B$16,Paramètres!$A$1:$I$89,3,0)*0.475*44/12</f>
        <v>0.94647365169667252</v>
      </c>
      <c r="FS155" s="21">
        <f>EXP(-LN(2)/2)*FS154+(1-EXP(-LN(2)/2))/(LN(2)/2)*FM155*FP155*VLOOKUP('Données projet'!$B$16,Paramètres!$A$1:$I$89,3,0)*0.475*44/12</f>
        <v>1.0582329776749558E-17</v>
      </c>
      <c r="FT155" s="22">
        <f t="shared" si="184"/>
        <v>1.6913238228843375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1.1368683772161603E-13</v>
      </c>
      <c r="GA155" s="17">
        <f>FZ155*VLOOKUP('Données projet'!$B$17,Paramètres!$A$1:$I$89,3,0)*VLOOKUP('Données projet'!$B$17,Paramètres!$A$1:$I$89,5,0)</f>
        <v>6.7984728957526396E-14</v>
      </c>
      <c r="GB155" s="13">
        <f t="shared" si="185"/>
        <v>1.0682447123141398E-12</v>
      </c>
      <c r="GC155" s="20">
        <f t="shared" si="186"/>
        <v>1.978932943548152E-12</v>
      </c>
      <c r="GD155" s="59">
        <f t="shared" si="134"/>
        <v>293.3333333333353</v>
      </c>
      <c r="GE155" s="59">
        <f ca="1">AVERAGE(OFFSET($GD$3,0,0,'Données projet'!$E$17+1,1))-AVERAGE(OFFSET($H$3,0,0,'Données projet'!$E$17+1,1))</f>
        <v>259.30247982593914</v>
      </c>
      <c r="GF155" s="59">
        <f t="shared" si="158"/>
        <v>275.24740346220779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</v>
      </c>
      <c r="GM155" s="21">
        <f>EXP(-LN(2)/25)*GM154+(1-EXP(-LN(2)/25))/(LN(2)/25)*Calculateur!GH155*Calculateur!GJ155*VLOOKUP('Données projet'!$B$17,Paramètres!$A$1:$I$89,3,0)*0.475*44/12</f>
        <v>0.61240949807058809</v>
      </c>
      <c r="GN155" s="21">
        <f>EXP(-LN(2)/2)*GN154+(1-EXP(-LN(2)/2))/(LN(2)/2)*GH155*GK155*VLOOKUP('Données projet'!$B$17,Paramètres!$A$1:$I$89,3,0)*0.475*44/12</f>
        <v>1.2438171231633521E-17</v>
      </c>
      <c r="GO155" s="21">
        <f t="shared" si="187"/>
        <v>0.61240949807058809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5.6843418860808015E-14</v>
      </c>
      <c r="GV155" s="17">
        <f>GU155*VLOOKUP('Données projet'!$B$18,Paramètres!$A$1:$I$89,3,0)*VLOOKUP('Données projet'!$B$18,Paramètres!$A$1:$I$89,5,0)</f>
        <v>4.5224624045658861E-14</v>
      </c>
      <c r="GW155" s="13">
        <f t="shared" si="188"/>
        <v>7.4514601661523691E-13</v>
      </c>
      <c r="GX155" s="20">
        <f t="shared" si="189"/>
        <v>1.3765621991510601E-12</v>
      </c>
      <c r="GY155" s="59">
        <f t="shared" si="137"/>
        <v>293.33333333333468</v>
      </c>
      <c r="GZ155" s="59">
        <f ca="1">AVERAGE(OFFSET($GY$3,0,0,'Données projet'!$E$18+1,1))-AVERAGE(OFFSET($H$3,0,0,'Données projet'!$E$18+1,1))</f>
        <v>199.58763537752952</v>
      </c>
      <c r="HA155" s="59">
        <f t="shared" si="160"/>
        <v>242.62852778451929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0</v>
      </c>
      <c r="HH155" s="21">
        <f>EXP(-LN(2)/25)*HH154+(1-EXP(-LN(2)/25))/(LN(2)/25)*Calculateur!HC155*Calculateur!HE155*VLOOKUP('Données projet'!$B$18,Paramètres!$A$1:$I$89,3,0)*0.475*44/12</f>
        <v>0.34921465687015474</v>
      </c>
      <c r="HI155" s="21">
        <f>EXP(-LN(2)/2)*HI154+(1-EXP(-LN(2)/2))/(LN(2)/2)*HC155*HF155*VLOOKUP('Données projet'!$B$18,Paramètres!$A$1:$I$89,3,0)*0.475*44/12</f>
        <v>4.6670819957035907E-18</v>
      </c>
      <c r="HJ155" s="22">
        <f t="shared" si="190"/>
        <v>0.34921465687015474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-1.0286385077051818E-13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237.22177246688199</v>
      </c>
      <c r="T156" s="59">
        <f t="shared" si="142"/>
        <v>149.27472147904302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0.10259477128719018</v>
      </c>
      <c r="AB156" s="21">
        <f>EXP(-LN(2)/2)*AB155+(1-EXP(-LN(2)/2))/(LN(2)/2)*V156*Y156*VLOOKUP('Données projet'!$B$9,Paramètres!$A$1:$I$89,3,0)*0.475*44/12</f>
        <v>1.8980172637516947E-18</v>
      </c>
      <c r="AC156" s="22">
        <f t="shared" si="163"/>
        <v>0.10259477128719018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-1.1527845344971866E-13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279.20364724206644</v>
      </c>
      <c r="AO156" s="59">
        <f t="shared" si="144"/>
        <v>173.99850582760712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0.11497689885633371</v>
      </c>
      <c r="AW156" s="21">
        <f>EXP(-LN(2)/2)*AW155+(1-EXP(-LN(2)/2))/(LN(2)/2)*AQ156*AT156*VLOOKUP('Données projet'!$B$10,Paramètres!$A$1:$I$89,3,0)*0.475*44/12</f>
        <v>2.1270883128251748E-18</v>
      </c>
      <c r="AX156" s="21">
        <f t="shared" si="166"/>
        <v>0.11497689885633371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-5.3205440053716299E-14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215.23235148064941</v>
      </c>
      <c r="BJ156" s="59">
        <f t="shared" si="146"/>
        <v>184.07239726900434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0.27433054537133006</v>
      </c>
      <c r="BQ156" s="21">
        <f>EXP(-LN(2)/25)*BQ155+(1-EXP(-LN(2)/25))/(LN(2)/25)*Calculateur!BL156*Calculateur!BN156*VLOOKUP('Données projet'!$B$11,Paramètres!$A$1:$I$89,3,0)*0.475*44/12</f>
        <v>0.25948023559867783</v>
      </c>
      <c r="BR156" s="21">
        <f>EXP(-LN(2)/2)*BR155+(1-EXP(-LN(2)/2))/(LN(2)/2)*BL156*BO156*VLOOKUP('Données projet'!$B$11,Paramètres!$A$1:$I$89,3,0)*0.475*44/12</f>
        <v>3.0151222937813906E-18</v>
      </c>
      <c r="BS156" s="22">
        <f t="shared" si="169"/>
        <v>0.53381078097000789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-1.223725121235475E-13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303.1504619632214</v>
      </c>
      <c r="CE156" s="59">
        <f t="shared" si="148"/>
        <v>188.09929616366503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0.12205240032441586</v>
      </c>
      <c r="CM156" s="21">
        <f>EXP(-LN(2)/2)*CM155+(1-EXP(-LN(2)/2))/(LN(2)/2)*CG156*CJ156*VLOOKUP('Données projet'!$B$12,Paramètres!$A$1:$I$89,3,0)*0.475*44/12</f>
        <v>2.2579860551528821E-18</v>
      </c>
      <c r="CN156" s="22">
        <f t="shared" si="172"/>
        <v>0.12205240032441586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5.6843418860808015E-14</v>
      </c>
      <c r="CU156" s="17">
        <f>CT156*VLOOKUP('Données projet'!$B$13,Paramètres!$A$1:$I$89,3,0)*VLOOKUP('Données projet'!$B$13,Paramètres!$A$1:$I$89,5,0)</f>
        <v>3.813056537183002E-14</v>
      </c>
      <c r="CV156" s="13">
        <f t="shared" si="173"/>
        <v>6.4086286045526829E-13</v>
      </c>
      <c r="CW156" s="20">
        <f t="shared" si="174"/>
        <v>1.1825802166488628E-12</v>
      </c>
      <c r="CX156" s="59">
        <f t="shared" si="122"/>
        <v>293.33333333333451</v>
      </c>
      <c r="CY156" s="59">
        <f ca="1">AVERAGE(OFFSET($CX$3,0,0,'Données projet'!$E$13+1,1))-AVERAGE(OFFSET($H$3,0,0,'Données projet'!$E$13+1,1))</f>
        <v>156.63226020379989</v>
      </c>
      <c r="CZ156" s="59">
        <f t="shared" si="150"/>
        <v>196.0481096619543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0.28638452234679451</v>
      </c>
      <c r="DH156" s="21">
        <f>EXP(-LN(2)/2)*DH155+(1-EXP(-LN(2)/2))/(LN(2)/2)*DB156*DE156*VLOOKUP('Données projet'!$B$13,Paramètres!$A$1:$I$89,3,0)*0.475*44/12</f>
        <v>2.7824586094739806E-18</v>
      </c>
      <c r="DI156" s="22">
        <f t="shared" si="175"/>
        <v>0.28638452234679451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-8.5265128291212022E-14</v>
      </c>
      <c r="DP156" s="17">
        <f>DO156*VLOOKUP('Données projet'!$B$14,Paramètres!$A$1:$I$89,3,0)*VLOOKUP('Données projet'!$B$14,Paramètres!$A$1:$I$89,5,0)</f>
        <v>-7.7147888077888636E-14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225.28075317732998</v>
      </c>
      <c r="DU156" s="59">
        <f t="shared" si="152"/>
        <v>358.43407531256207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0.19634747599814725</v>
      </c>
      <c r="EB156" s="21">
        <f>EXP(-LN(2)/25)*EB155+(1-EXP(-LN(2)/25))/(LN(2)/25)*Calculateur!DW156*Calculateur!DY156*VLOOKUP('Données projet'!$B$14,Paramètres!$A$1:$I$89,3,0)*0.475*44/12</f>
        <v>0.27324103573034375</v>
      </c>
      <c r="EC156" s="21">
        <f>EXP(-LN(2)/2)*EC155+(1-EXP(-LN(2)/2))/(LN(2)/2)*DW156*DZ156*VLOOKUP('Données projet'!$B$14,Paramètres!$A$1:$I$89,3,0)*0.475*44/12</f>
        <v>1.3535979033368355E-18</v>
      </c>
      <c r="ED156" s="22">
        <f t="shared" si="178"/>
        <v>0.46958851172849103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-5.6843418860808015E-13</v>
      </c>
      <c r="EK156" s="17">
        <f>EJ156*VLOOKUP('Données projet'!$B$15,Paramètres!$A$1:$I$89,3,0)*VLOOKUP('Données projet'!$B$15,Paramètres!$A$1:$I$89,5,0)</f>
        <v>-3.177547114319168E-13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326.31232746914907</v>
      </c>
      <c r="EP156" s="59">
        <f t="shared" si="154"/>
        <v>330.17137761430297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0.39977484462246599</v>
      </c>
      <c r="EW156" s="21">
        <f>EXP(-LN(2)/25)*EW155+(1-EXP(-LN(2)/25))/(LN(2)/25)*Calculateur!ER156*Calculateur!ET156*VLOOKUP('Données projet'!$B$15,Paramètres!$A$1:$I$89,3,0)*0.475*44/12</f>
        <v>0.9966672080239849</v>
      </c>
      <c r="EX156" s="21">
        <f>EXP(-LN(2)/2)*EX155+(1-EXP(-LN(2)/2))/(LN(2)/2)*ER156*EU156*VLOOKUP('Données projet'!$B$15,Paramètres!$A$1:$I$89,3,0)*0.475*44/12</f>
        <v>9.9731807990366554E-18</v>
      </c>
      <c r="EY156" s="22">
        <f t="shared" si="181"/>
        <v>1.3964420526464509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255.41017495879987</v>
      </c>
      <c r="FK156" s="59">
        <f t="shared" si="156"/>
        <v>297.50513563712764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0.73024411364441955</v>
      </c>
      <c r="FR156" s="21">
        <f>EXP(-LN(2)/25)*FR155+(1-EXP(-LN(2)/25))/(LN(2)/25)*Calculateur!FM156*Calculateur!FO156*VLOOKUP('Données projet'!$B$16,Paramètres!$A$1:$I$89,3,0)*0.475*44/12</f>
        <v>0.92059227991814085</v>
      </c>
      <c r="FS156" s="21">
        <f>EXP(-LN(2)/2)*FS155+(1-EXP(-LN(2)/2))/(LN(2)/2)*FM156*FP156*VLOOKUP('Données projet'!$B$16,Paramètres!$A$1:$I$89,3,0)*0.475*44/12</f>
        <v>7.4828371458919362E-18</v>
      </c>
      <c r="FT156" s="22">
        <f t="shared" si="184"/>
        <v>1.6508363935625603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1.1368683772161603E-13</v>
      </c>
      <c r="GA156" s="17">
        <f>FZ156*VLOOKUP('Données projet'!$B$17,Paramètres!$A$1:$I$89,3,0)*VLOOKUP('Données projet'!$B$17,Paramètres!$A$1:$I$89,5,0)</f>
        <v>6.7984728957526396E-14</v>
      </c>
      <c r="GB156" s="13">
        <f t="shared" si="185"/>
        <v>1.0682447123141398E-12</v>
      </c>
      <c r="GC156" s="20">
        <f t="shared" si="186"/>
        <v>1.978932943548152E-12</v>
      </c>
      <c r="GD156" s="59">
        <f t="shared" si="134"/>
        <v>293.3333333333353</v>
      </c>
      <c r="GE156" s="59">
        <f ca="1">AVERAGE(OFFSET($GD$3,0,0,'Données projet'!$E$17+1,1))-AVERAGE(OFFSET($H$3,0,0,'Données projet'!$E$17+1,1))</f>
        <v>259.30247982593914</v>
      </c>
      <c r="GF156" s="59">
        <f t="shared" si="158"/>
        <v>275.24740346220779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</v>
      </c>
      <c r="GM156" s="21">
        <f>EXP(-LN(2)/25)*GM155+(1-EXP(-LN(2)/25))/(LN(2)/25)*Calculateur!GH156*Calculateur!GJ156*VLOOKUP('Données projet'!$B$17,Paramètres!$A$1:$I$89,3,0)*0.475*44/12</f>
        <v>0.59566312814063205</v>
      </c>
      <c r="GN156" s="21">
        <f>EXP(-LN(2)/2)*GN155+(1-EXP(-LN(2)/2))/(LN(2)/2)*GH156*GK156*VLOOKUP('Données projet'!$B$17,Paramètres!$A$1:$I$89,3,0)*0.475*44/12</f>
        <v>8.7951152234474945E-18</v>
      </c>
      <c r="GO156" s="21">
        <f t="shared" si="187"/>
        <v>0.59566312814063205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5.6843418860808015E-14</v>
      </c>
      <c r="GV156" s="17">
        <f>GU156*VLOOKUP('Données projet'!$B$18,Paramètres!$A$1:$I$89,3,0)*VLOOKUP('Données projet'!$B$18,Paramètres!$A$1:$I$89,5,0)</f>
        <v>4.5224624045658861E-14</v>
      </c>
      <c r="GW156" s="13">
        <f t="shared" si="188"/>
        <v>7.4514601661523691E-13</v>
      </c>
      <c r="GX156" s="20">
        <f t="shared" si="189"/>
        <v>1.3765621991510601E-12</v>
      </c>
      <c r="GY156" s="59">
        <f t="shared" si="137"/>
        <v>293.33333333333468</v>
      </c>
      <c r="GZ156" s="59">
        <f ca="1">AVERAGE(OFFSET($GY$3,0,0,'Données projet'!$E$18+1,1))-AVERAGE(OFFSET($H$3,0,0,'Données projet'!$E$18+1,1))</f>
        <v>199.58763537752952</v>
      </c>
      <c r="HA156" s="59">
        <f t="shared" si="160"/>
        <v>242.62852778451929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0</v>
      </c>
      <c r="HH156" s="21">
        <f>EXP(-LN(2)/25)*HH155+(1-EXP(-LN(2)/25))/(LN(2)/25)*Calculateur!HC156*Calculateur!HE156*VLOOKUP('Données projet'!$B$18,Paramètres!$A$1:$I$89,3,0)*0.475*44/12</f>
        <v>0.3396653637136397</v>
      </c>
      <c r="HI156" s="21">
        <f>EXP(-LN(2)/2)*HI155+(1-EXP(-LN(2)/2))/(LN(2)/2)*HC156*HF156*VLOOKUP('Données projet'!$B$18,Paramètres!$A$1:$I$89,3,0)*0.475*44/12</f>
        <v>3.3001253275156545E-18</v>
      </c>
      <c r="HJ156" s="22">
        <f t="shared" si="190"/>
        <v>0.3396653637136397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-1.0286385077051818E-13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237.22177246688199</v>
      </c>
      <c r="T157" s="59">
        <f t="shared" si="142"/>
        <v>149.27472147904302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9.978931187111742E-2</v>
      </c>
      <c r="AB157" s="21">
        <f>EXP(-LN(2)/2)*AB156+(1-EXP(-LN(2)/2))/(LN(2)/2)*V157*Y157*VLOOKUP('Données projet'!$B$9,Paramètres!$A$1:$I$89,3,0)*0.475*44/12</f>
        <v>1.3421008780079593E-18</v>
      </c>
      <c r="AC157" s="22">
        <f t="shared" si="163"/>
        <v>9.978931187111742E-2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-1.1527845344971866E-13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279.20364724206644</v>
      </c>
      <c r="AO157" s="59">
        <f t="shared" si="144"/>
        <v>173.99850582760712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0.11183284951073494</v>
      </c>
      <c r="AW157" s="21">
        <f>EXP(-LN(2)/2)*AW156+(1-EXP(-LN(2)/2))/(LN(2)/2)*AQ157*AT157*VLOOKUP('Données projet'!$B$10,Paramètres!$A$1:$I$89,3,0)*0.475*44/12</f>
        <v>1.5040785701813335E-18</v>
      </c>
      <c r="AX157" s="21">
        <f t="shared" si="166"/>
        <v>0.11183284951073494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-5.3205440053716299E-14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215.23235148064941</v>
      </c>
      <c r="BJ157" s="59">
        <f t="shared" si="146"/>
        <v>184.07239726900434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0.26895109070170897</v>
      </c>
      <c r="BQ157" s="21">
        <f>EXP(-LN(2)/25)*BQ156+(1-EXP(-LN(2)/25))/(LN(2)/25)*Calculateur!BL157*Calculateur!BN157*VLOOKUP('Données projet'!$B$11,Paramètres!$A$1:$I$89,3,0)*0.475*44/12</f>
        <v>0.25238473491075947</v>
      </c>
      <c r="BR157" s="21">
        <f>EXP(-LN(2)/2)*BR156+(1-EXP(-LN(2)/2))/(LN(2)/2)*BL157*BO157*VLOOKUP('Données projet'!$B$11,Paramètres!$A$1:$I$89,3,0)*0.475*44/12</f>
        <v>2.132013420039559E-18</v>
      </c>
      <c r="BS157" s="22">
        <f t="shared" si="169"/>
        <v>0.5213358256124685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-1.223725121235475E-13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303.1504619632214</v>
      </c>
      <c r="CE157" s="59">
        <f t="shared" si="148"/>
        <v>188.09929616366503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0.11871487101908793</v>
      </c>
      <c r="CM157" s="21">
        <f>EXP(-LN(2)/2)*CM156+(1-EXP(-LN(2)/2))/(LN(2)/2)*CG157*CJ157*VLOOKUP('Données projet'!$B$12,Paramètres!$A$1:$I$89,3,0)*0.475*44/12</f>
        <v>1.5966372514232647E-18</v>
      </c>
      <c r="CN157" s="22">
        <f t="shared" si="172"/>
        <v>0.11871487101908793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5.6843418860808015E-14</v>
      </c>
      <c r="CU157" s="17">
        <f>CT157*VLOOKUP('Données projet'!$B$13,Paramètres!$A$1:$I$89,3,0)*VLOOKUP('Données projet'!$B$13,Paramètres!$A$1:$I$89,5,0)</f>
        <v>3.813056537183002E-14</v>
      </c>
      <c r="CV157" s="13">
        <f t="shared" si="173"/>
        <v>6.4086286045526829E-13</v>
      </c>
      <c r="CW157" s="20">
        <f t="shared" si="174"/>
        <v>1.1825802166488628E-12</v>
      </c>
      <c r="CX157" s="59">
        <f t="shared" si="122"/>
        <v>293.33333333333451</v>
      </c>
      <c r="CY157" s="59">
        <f ca="1">AVERAGE(OFFSET($CX$3,0,0,'Données projet'!$E$13+1,1))-AVERAGE(OFFSET($H$3,0,0,'Données projet'!$E$13+1,1))</f>
        <v>156.63226020379989</v>
      </c>
      <c r="CZ157" s="59">
        <f t="shared" si="150"/>
        <v>196.0481096619543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0.27855332252291393</v>
      </c>
      <c r="DH157" s="21">
        <f>EXP(-LN(2)/2)*DH156+(1-EXP(-LN(2)/2))/(LN(2)/2)*DB157*DE157*VLOOKUP('Données projet'!$B$13,Paramètres!$A$1:$I$89,3,0)*0.475*44/12</f>
        <v>1.9674953511299433E-18</v>
      </c>
      <c r="DI157" s="22">
        <f t="shared" si="175"/>
        <v>0.27855332252291393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-8.5265128291212022E-14</v>
      </c>
      <c r="DP157" s="17">
        <f>DO157*VLOOKUP('Données projet'!$B$14,Paramètres!$A$1:$I$89,3,0)*VLOOKUP('Données projet'!$B$14,Paramètres!$A$1:$I$89,5,0)</f>
        <v>-7.7147888077888636E-14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225.28075317732998</v>
      </c>
      <c r="DU157" s="59">
        <f t="shared" si="152"/>
        <v>358.43407531256207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0.19249722175395861</v>
      </c>
      <c r="EB157" s="21">
        <f>EXP(-LN(2)/25)*EB156+(1-EXP(-LN(2)/25))/(LN(2)/25)*Calculateur!DW157*Calculateur!DY157*VLOOKUP('Données projet'!$B$14,Paramètres!$A$1:$I$89,3,0)*0.475*44/12</f>
        <v>0.26576924523917594</v>
      </c>
      <c r="EC157" s="21">
        <f>EXP(-LN(2)/2)*EC156+(1-EXP(-LN(2)/2))/(LN(2)/2)*DW157*DZ157*VLOOKUP('Données projet'!$B$14,Paramètres!$A$1:$I$89,3,0)*0.475*44/12</f>
        <v>9.5713825644936922E-19</v>
      </c>
      <c r="ED157" s="22">
        <f t="shared" si="178"/>
        <v>0.45826646699313456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-5.6843418860808015E-13</v>
      </c>
      <c r="EK157" s="17">
        <f>EJ157*VLOOKUP('Données projet'!$B$15,Paramètres!$A$1:$I$89,3,0)*VLOOKUP('Données projet'!$B$15,Paramètres!$A$1:$I$89,5,0)</f>
        <v>-3.177547114319168E-13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326.31232746914907</v>
      </c>
      <c r="EP157" s="59">
        <f t="shared" si="154"/>
        <v>330.17137761430297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0.39193550375799757</v>
      </c>
      <c r="EW157" s="21">
        <f>EXP(-LN(2)/25)*EW156+(1-EXP(-LN(2)/25))/(LN(2)/25)*Calculateur!ER157*Calculateur!ET157*VLOOKUP('Données projet'!$B$15,Paramètres!$A$1:$I$89,3,0)*0.475*44/12</f>
        <v>0.96941329080811844</v>
      </c>
      <c r="EX157" s="21">
        <f>EXP(-LN(2)/2)*EX156+(1-EXP(-LN(2)/2))/(LN(2)/2)*ER157*EU157*VLOOKUP('Données projet'!$B$15,Paramètres!$A$1:$I$89,3,0)*0.475*44/12</f>
        <v>7.0521037729982895E-18</v>
      </c>
      <c r="EY157" s="22">
        <f t="shared" si="181"/>
        <v>1.361348794566116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255.41017495879987</v>
      </c>
      <c r="FK157" s="59">
        <f t="shared" si="156"/>
        <v>297.50513563712764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0.71592447198078168</v>
      </c>
      <c r="FR157" s="21">
        <f>EXP(-LN(2)/25)*FR156+(1-EXP(-LN(2)/25))/(LN(2)/25)*Calculateur!FM157*Calculateur!FO157*VLOOKUP('Données projet'!$B$16,Paramètres!$A$1:$I$89,3,0)*0.475*44/12</f>
        <v>0.89541863561193535</v>
      </c>
      <c r="FS157" s="21">
        <f>EXP(-LN(2)/2)*FS156+(1-EXP(-LN(2)/2))/(LN(2)/2)*FM157*FP157*VLOOKUP('Données projet'!$B$16,Paramètres!$A$1:$I$89,3,0)*0.475*44/12</f>
        <v>5.2911648883747792E-18</v>
      </c>
      <c r="FT157" s="22">
        <f t="shared" si="184"/>
        <v>1.6113431075927171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1.1368683772161603E-13</v>
      </c>
      <c r="GA157" s="17">
        <f>FZ157*VLOOKUP('Données projet'!$B$17,Paramètres!$A$1:$I$89,3,0)*VLOOKUP('Données projet'!$B$17,Paramètres!$A$1:$I$89,5,0)</f>
        <v>6.7984728957526396E-14</v>
      </c>
      <c r="GB157" s="13">
        <f t="shared" si="185"/>
        <v>1.0682447123141398E-12</v>
      </c>
      <c r="GC157" s="20">
        <f t="shared" si="186"/>
        <v>1.978932943548152E-12</v>
      </c>
      <c r="GD157" s="59">
        <f t="shared" si="134"/>
        <v>293.3333333333353</v>
      </c>
      <c r="GE157" s="59">
        <f ca="1">AVERAGE(OFFSET($GD$3,0,0,'Données projet'!$E$17+1,1))-AVERAGE(OFFSET($H$3,0,0,'Données projet'!$E$17+1,1))</f>
        <v>259.30247982593914</v>
      </c>
      <c r="GF157" s="59">
        <f t="shared" si="158"/>
        <v>275.24740346220779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</v>
      </c>
      <c r="GM157" s="21">
        <f>EXP(-LN(2)/25)*GM156+(1-EXP(-LN(2)/25))/(LN(2)/25)*Calculateur!GH157*Calculateur!GJ157*VLOOKUP('Données projet'!$B$17,Paramètres!$A$1:$I$89,3,0)*0.475*44/12</f>
        <v>0.57937468857706398</v>
      </c>
      <c r="GN157" s="21">
        <f>EXP(-LN(2)/2)*GN156+(1-EXP(-LN(2)/2))/(LN(2)/2)*GH157*GK157*VLOOKUP('Données projet'!$B$17,Paramètres!$A$1:$I$89,3,0)*0.475*44/12</f>
        <v>6.2190856158167606E-18</v>
      </c>
      <c r="GO157" s="21">
        <f t="shared" si="187"/>
        <v>0.57937468857706398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5.6843418860808015E-14</v>
      </c>
      <c r="GV157" s="17">
        <f>GU157*VLOOKUP('Données projet'!$B$18,Paramètres!$A$1:$I$89,3,0)*VLOOKUP('Données projet'!$B$18,Paramètres!$A$1:$I$89,5,0)</f>
        <v>4.5224624045658861E-14</v>
      </c>
      <c r="GW157" s="13">
        <f t="shared" si="188"/>
        <v>7.4514601661523691E-13</v>
      </c>
      <c r="GX157" s="20">
        <f t="shared" si="189"/>
        <v>1.3765621991510601E-12</v>
      </c>
      <c r="GY157" s="59">
        <f t="shared" si="137"/>
        <v>293.33333333333468</v>
      </c>
      <c r="GZ157" s="59">
        <f ca="1">AVERAGE(OFFSET($GY$3,0,0,'Données projet'!$E$18+1,1))-AVERAGE(OFFSET($H$3,0,0,'Données projet'!$E$18+1,1))</f>
        <v>199.58763537752952</v>
      </c>
      <c r="HA157" s="59">
        <f t="shared" si="160"/>
        <v>242.62852778451929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0</v>
      </c>
      <c r="HH157" s="21">
        <f>EXP(-LN(2)/25)*HH156+(1-EXP(-LN(2)/25))/(LN(2)/25)*Calculateur!HC157*Calculateur!HE157*VLOOKUP('Données projet'!$B$18,Paramètres!$A$1:$I$89,3,0)*0.475*44/12</f>
        <v>0.33037719648066505</v>
      </c>
      <c r="HI157" s="21">
        <f>EXP(-LN(2)/2)*HI156+(1-EXP(-LN(2)/2))/(LN(2)/2)*HC157*HF157*VLOOKUP('Données projet'!$B$18,Paramètres!$A$1:$I$89,3,0)*0.475*44/12</f>
        <v>2.3335409978517954E-18</v>
      </c>
      <c r="HJ157" s="22">
        <f t="shared" si="190"/>
        <v>0.33037719648066505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-1.0286385077051818E-13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237.22177246688199</v>
      </c>
      <c r="T158" s="59">
        <f t="shared" si="142"/>
        <v>149.27472147904302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9.7060567890309868E-2</v>
      </c>
      <c r="AB158" s="21">
        <f>EXP(-LN(2)/2)*AB157+(1-EXP(-LN(2)/2))/(LN(2)/2)*V158*Y158*VLOOKUP('Données projet'!$B$9,Paramètres!$A$1:$I$89,3,0)*0.475*44/12</f>
        <v>9.4900863187584737E-19</v>
      </c>
      <c r="AC158" s="22">
        <f t="shared" si="163"/>
        <v>9.7060567890309868E-2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-1.1527845344971866E-13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279.20364724206644</v>
      </c>
      <c r="AO158" s="59">
        <f t="shared" si="144"/>
        <v>173.99850582760712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0.10877477435982993</v>
      </c>
      <c r="AW158" s="21">
        <f>EXP(-LN(2)/2)*AW157+(1-EXP(-LN(2)/2))/(LN(2)/2)*AQ158*AT158*VLOOKUP('Données projet'!$B$10,Paramètres!$A$1:$I$89,3,0)*0.475*44/12</f>
        <v>1.0635441564125874E-18</v>
      </c>
      <c r="AX158" s="21">
        <f t="shared" si="166"/>
        <v>0.10877477435982993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-5.3205440053716299E-14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215.23235148064941</v>
      </c>
      <c r="BJ158" s="59">
        <f t="shared" si="146"/>
        <v>184.07239726900434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0.2636771238570158</v>
      </c>
      <c r="BQ158" s="21">
        <f>EXP(-LN(2)/25)*BQ157+(1-EXP(-LN(2)/25))/(LN(2)/25)*Calculateur!BL158*Calculateur!BN158*VLOOKUP('Données projet'!$B$11,Paramètres!$A$1:$I$89,3,0)*0.475*44/12</f>
        <v>0.24548326106228838</v>
      </c>
      <c r="BR158" s="21">
        <f>EXP(-LN(2)/2)*BR157+(1-EXP(-LN(2)/2))/(LN(2)/2)*BL158*BO158*VLOOKUP('Données projet'!$B$11,Paramètres!$A$1:$I$89,3,0)*0.475*44/12</f>
        <v>1.5075611468906953E-18</v>
      </c>
      <c r="BS158" s="22">
        <f t="shared" si="169"/>
        <v>0.50916038491930415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-1.223725121235475E-13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303.1504619632214</v>
      </c>
      <c r="CE158" s="59">
        <f t="shared" si="148"/>
        <v>188.09929616366503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0.11546860662812723</v>
      </c>
      <c r="CM158" s="21">
        <f>EXP(-LN(2)/2)*CM157+(1-EXP(-LN(2)/2))/(LN(2)/2)*CG158*CJ158*VLOOKUP('Données projet'!$B$12,Paramètres!$A$1:$I$89,3,0)*0.475*44/12</f>
        <v>1.1289930275764411E-18</v>
      </c>
      <c r="CN158" s="22">
        <f t="shared" si="172"/>
        <v>0.11546860662812723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5.6843418860808015E-14</v>
      </c>
      <c r="CU158" s="17">
        <f>CT158*VLOOKUP('Données projet'!$B$13,Paramètres!$A$1:$I$89,3,0)*VLOOKUP('Données projet'!$B$13,Paramètres!$A$1:$I$89,5,0)</f>
        <v>3.813056537183002E-14</v>
      </c>
      <c r="CV158" s="13">
        <f t="shared" si="173"/>
        <v>6.4086286045526829E-13</v>
      </c>
      <c r="CW158" s="20">
        <f t="shared" si="174"/>
        <v>1.1825802166488628E-12</v>
      </c>
      <c r="CX158" s="59">
        <f t="shared" si="122"/>
        <v>293.33333333333451</v>
      </c>
      <c r="CY158" s="59">
        <f ca="1">AVERAGE(OFFSET($CX$3,0,0,'Données projet'!$E$13+1,1))-AVERAGE(OFFSET($H$3,0,0,'Données projet'!$E$13+1,1))</f>
        <v>156.63226020379989</v>
      </c>
      <c r="CZ158" s="59">
        <f t="shared" si="150"/>
        <v>196.0481096619543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0.27093626727004227</v>
      </c>
      <c r="DH158" s="21">
        <f>EXP(-LN(2)/2)*DH157+(1-EXP(-LN(2)/2))/(LN(2)/2)*DB158*DE158*VLOOKUP('Données projet'!$B$13,Paramètres!$A$1:$I$89,3,0)*0.475*44/12</f>
        <v>1.3912293047369903E-18</v>
      </c>
      <c r="DI158" s="22">
        <f t="shared" si="175"/>
        <v>0.27093626727004227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-8.5265128291212022E-14</v>
      </c>
      <c r="DP158" s="17">
        <f>DO158*VLOOKUP('Données projet'!$B$14,Paramètres!$A$1:$I$89,3,0)*VLOOKUP('Données projet'!$B$14,Paramètres!$A$1:$I$89,5,0)</f>
        <v>-7.7147888077888636E-14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225.28075317732998</v>
      </c>
      <c r="DU158" s="59">
        <f t="shared" si="152"/>
        <v>358.43407531256207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0.18872246864707531</v>
      </c>
      <c r="EB158" s="21">
        <f>EXP(-LN(2)/25)*EB157+(1-EXP(-LN(2)/25))/(LN(2)/25)*Calculateur!DW158*Calculateur!DY158*VLOOKUP('Données projet'!$B$14,Paramètres!$A$1:$I$89,3,0)*0.475*44/12</f>
        <v>0.25850177125191348</v>
      </c>
      <c r="EC158" s="21">
        <f>EXP(-LN(2)/2)*EC157+(1-EXP(-LN(2)/2))/(LN(2)/2)*DW158*DZ158*VLOOKUP('Données projet'!$B$14,Paramètres!$A$1:$I$89,3,0)*0.475*44/12</f>
        <v>6.7679895166841773E-19</v>
      </c>
      <c r="ED158" s="22">
        <f t="shared" si="178"/>
        <v>0.4472242398989888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-5.6843418860808015E-13</v>
      </c>
      <c r="EK158" s="17">
        <f>EJ158*VLOOKUP('Données projet'!$B$15,Paramètres!$A$1:$I$89,3,0)*VLOOKUP('Données projet'!$B$15,Paramètres!$A$1:$I$89,5,0)</f>
        <v>-3.177547114319168E-13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326.31232746914907</v>
      </c>
      <c r="EP158" s="59">
        <f t="shared" si="154"/>
        <v>330.17137761430297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0.38424988758635559</v>
      </c>
      <c r="EW158" s="21">
        <f>EXP(-LN(2)/25)*EW157+(1-EXP(-LN(2)/25))/(LN(2)/25)*Calculateur!ER158*Calculateur!ET158*VLOOKUP('Données projet'!$B$15,Paramètres!$A$1:$I$89,3,0)*0.475*44/12</f>
        <v>0.94290463339174113</v>
      </c>
      <c r="EX158" s="21">
        <f>EXP(-LN(2)/2)*EX157+(1-EXP(-LN(2)/2))/(LN(2)/2)*ER158*EU158*VLOOKUP('Données projet'!$B$15,Paramètres!$A$1:$I$89,3,0)*0.475*44/12</f>
        <v>4.9865903995183277E-18</v>
      </c>
      <c r="EY158" s="22">
        <f t="shared" si="181"/>
        <v>1.3271545209780968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255.41017495879987</v>
      </c>
      <c r="FK158" s="59">
        <f t="shared" si="156"/>
        <v>297.50513563712764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0.70188562975604885</v>
      </c>
      <c r="FR158" s="21">
        <f>EXP(-LN(2)/25)*FR157+(1-EXP(-LN(2)/25))/(LN(2)/25)*Calculateur!FM158*Calculateur!FO158*VLOOKUP('Données projet'!$B$16,Paramètres!$A$1:$I$89,3,0)*0.475*44/12</f>
        <v>0.87093336593310744</v>
      </c>
      <c r="FS158" s="21">
        <f>EXP(-LN(2)/2)*FS157+(1-EXP(-LN(2)/2))/(LN(2)/2)*FM158*FP158*VLOOKUP('Données projet'!$B$16,Paramètres!$A$1:$I$89,3,0)*0.475*44/12</f>
        <v>3.7414185729459681E-18</v>
      </c>
      <c r="FT158" s="22">
        <f t="shared" si="184"/>
        <v>1.5728189956891563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1.1368683772161603E-13</v>
      </c>
      <c r="GA158" s="17">
        <f>FZ158*VLOOKUP('Données projet'!$B$17,Paramètres!$A$1:$I$89,3,0)*VLOOKUP('Données projet'!$B$17,Paramètres!$A$1:$I$89,5,0)</f>
        <v>6.7984728957526396E-14</v>
      </c>
      <c r="GB158" s="13">
        <f t="shared" si="185"/>
        <v>1.0682447123141398E-12</v>
      </c>
      <c r="GC158" s="20">
        <f t="shared" si="186"/>
        <v>1.978932943548152E-12</v>
      </c>
      <c r="GD158" s="59">
        <f t="shared" si="134"/>
        <v>293.3333333333353</v>
      </c>
      <c r="GE158" s="59">
        <f ca="1">AVERAGE(OFFSET($GD$3,0,0,'Données projet'!$E$17+1,1))-AVERAGE(OFFSET($H$3,0,0,'Données projet'!$E$17+1,1))</f>
        <v>259.30247982593914</v>
      </c>
      <c r="GF158" s="59">
        <f t="shared" si="158"/>
        <v>275.24740346220779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</v>
      </c>
      <c r="GM158" s="21">
        <f>EXP(-LN(2)/25)*GM157+(1-EXP(-LN(2)/25))/(LN(2)/25)*Calculateur!GH158*Calculateur!GJ158*VLOOKUP('Données projet'!$B$17,Paramètres!$A$1:$I$89,3,0)*0.475*44/12</f>
        <v>0.56353165724993348</v>
      </c>
      <c r="GN158" s="21">
        <f>EXP(-LN(2)/2)*GN157+(1-EXP(-LN(2)/2))/(LN(2)/2)*GH158*GK158*VLOOKUP('Données projet'!$B$17,Paramètres!$A$1:$I$89,3,0)*0.475*44/12</f>
        <v>4.3975576117237472E-18</v>
      </c>
      <c r="GO158" s="21">
        <f t="shared" si="187"/>
        <v>0.56353165724993348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5.6843418860808015E-14</v>
      </c>
      <c r="GV158" s="17">
        <f>GU158*VLOOKUP('Données projet'!$B$18,Paramètres!$A$1:$I$89,3,0)*VLOOKUP('Données projet'!$B$18,Paramètres!$A$1:$I$89,5,0)</f>
        <v>4.5224624045658861E-14</v>
      </c>
      <c r="GW158" s="13">
        <f t="shared" si="188"/>
        <v>7.4514601661523691E-13</v>
      </c>
      <c r="GX158" s="20">
        <f t="shared" si="189"/>
        <v>1.3765621991510601E-12</v>
      </c>
      <c r="GY158" s="59">
        <f t="shared" si="137"/>
        <v>293.33333333333468</v>
      </c>
      <c r="GZ158" s="59">
        <f ca="1">AVERAGE(OFFSET($GY$3,0,0,'Données projet'!$E$18+1,1))-AVERAGE(OFFSET($H$3,0,0,'Données projet'!$E$18+1,1))</f>
        <v>199.58763537752952</v>
      </c>
      <c r="HA158" s="59">
        <f t="shared" si="160"/>
        <v>242.62852778451929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0</v>
      </c>
      <c r="HH158" s="21">
        <f>EXP(-LN(2)/25)*HH157+(1-EXP(-LN(2)/25))/(LN(2)/25)*Calculateur!HC158*Calculateur!HE158*VLOOKUP('Données projet'!$B$18,Paramètres!$A$1:$I$89,3,0)*0.475*44/12</f>
        <v>0.32134301466911958</v>
      </c>
      <c r="HI158" s="21">
        <f>EXP(-LN(2)/2)*HI157+(1-EXP(-LN(2)/2))/(LN(2)/2)*HC158*HF158*VLOOKUP('Données projet'!$B$18,Paramètres!$A$1:$I$89,3,0)*0.475*44/12</f>
        <v>1.6500626637578272E-18</v>
      </c>
      <c r="HJ158" s="22">
        <f t="shared" si="190"/>
        <v>0.32134301466911958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-1.0286385077051818E-13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237.22177246688199</v>
      </c>
      <c r="T159" s="59">
        <f t="shared" si="142"/>
        <v>149.27472147904302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9.4406441557155912E-2</v>
      </c>
      <c r="AB159" s="21">
        <f>EXP(-LN(2)/2)*AB158+(1-EXP(-LN(2)/2))/(LN(2)/2)*V159*Y159*VLOOKUP('Données projet'!$B$9,Paramètres!$A$1:$I$89,3,0)*0.475*44/12</f>
        <v>6.7105043900397965E-19</v>
      </c>
      <c r="AC159" s="22">
        <f t="shared" si="163"/>
        <v>9.4406441557155912E-2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-1.1527845344971866E-13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279.20364724206644</v>
      </c>
      <c r="AO159" s="59">
        <f t="shared" si="144"/>
        <v>173.99850582760712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0.1058003224347436</v>
      </c>
      <c r="AW159" s="21">
        <f>EXP(-LN(2)/2)*AW158+(1-EXP(-LN(2)/2))/(LN(2)/2)*AQ159*AT159*VLOOKUP('Données projet'!$B$10,Paramètres!$A$1:$I$89,3,0)*0.475*44/12</f>
        <v>7.5203928509066673E-19</v>
      </c>
      <c r="AX159" s="21">
        <f t="shared" si="166"/>
        <v>0.1058003224347436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-5.3205440053716299E-14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215.23235148064941</v>
      </c>
      <c r="BJ159" s="59">
        <f t="shared" si="146"/>
        <v>184.07239726900434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0.2585065762853449</v>
      </c>
      <c r="BQ159" s="21">
        <f>EXP(-LN(2)/25)*BQ158+(1-EXP(-LN(2)/25))/(LN(2)/25)*Calculateur!BL159*Calculateur!BN159*VLOOKUP('Données projet'!$B$11,Paramètres!$A$1:$I$89,3,0)*0.475*44/12</f>
        <v>0.23877050837913646</v>
      </c>
      <c r="BR159" s="21">
        <f>EXP(-LN(2)/2)*BR158+(1-EXP(-LN(2)/2))/(LN(2)/2)*BL159*BO159*VLOOKUP('Données projet'!$B$11,Paramètres!$A$1:$I$89,3,0)*0.475*44/12</f>
        <v>1.0660067100197795E-18</v>
      </c>
      <c r="BS159" s="22">
        <f t="shared" si="169"/>
        <v>0.49727708466448139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-1.223725121235475E-13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303.1504619632214</v>
      </c>
      <c r="CE159" s="59">
        <f t="shared" si="148"/>
        <v>188.09929616366503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0.11231111150765098</v>
      </c>
      <c r="CM159" s="21">
        <f>EXP(-LN(2)/2)*CM158+(1-EXP(-LN(2)/2))/(LN(2)/2)*CG159*CJ159*VLOOKUP('Données projet'!$B$12,Paramètres!$A$1:$I$89,3,0)*0.475*44/12</f>
        <v>7.9831862571163235E-19</v>
      </c>
      <c r="CN159" s="22">
        <f t="shared" si="172"/>
        <v>0.11231111150765098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5.6843418860808015E-14</v>
      </c>
      <c r="CU159" s="17">
        <f>CT159*VLOOKUP('Données projet'!$B$13,Paramètres!$A$1:$I$89,3,0)*VLOOKUP('Données projet'!$B$13,Paramètres!$A$1:$I$89,5,0)</f>
        <v>3.813056537183002E-14</v>
      </c>
      <c r="CV159" s="13">
        <f t="shared" si="173"/>
        <v>6.4086286045526829E-13</v>
      </c>
      <c r="CW159" s="20">
        <f t="shared" si="174"/>
        <v>1.1825802166488628E-12</v>
      </c>
      <c r="CX159" s="59">
        <f t="shared" si="122"/>
        <v>293.33333333333451</v>
      </c>
      <c r="CY159" s="59">
        <f ca="1">AVERAGE(OFFSET($CX$3,0,0,'Données projet'!$E$13+1,1))-AVERAGE(OFFSET($H$3,0,0,'Données projet'!$E$13+1,1))</f>
        <v>156.63226020379989</v>
      </c>
      <c r="CZ159" s="59">
        <f t="shared" si="150"/>
        <v>196.0481096619543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0.26352750079362391</v>
      </c>
      <c r="DH159" s="21">
        <f>EXP(-LN(2)/2)*DH158+(1-EXP(-LN(2)/2))/(LN(2)/2)*DB159*DE159*VLOOKUP('Données projet'!$B$13,Paramètres!$A$1:$I$89,3,0)*0.475*44/12</f>
        <v>9.8374767556497163E-19</v>
      </c>
      <c r="DI159" s="22">
        <f t="shared" si="175"/>
        <v>0.26352750079362391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-8.5265128291212022E-14</v>
      </c>
      <c r="DP159" s="17">
        <f>DO159*VLOOKUP('Données projet'!$B$14,Paramètres!$A$1:$I$89,3,0)*VLOOKUP('Données projet'!$B$14,Paramètres!$A$1:$I$89,5,0)</f>
        <v>-7.7147888077888636E-14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225.28075317732998</v>
      </c>
      <c r="DU159" s="59">
        <f t="shared" si="152"/>
        <v>358.43407531256207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0.18502173614624595</v>
      </c>
      <c r="EB159" s="21">
        <f>EXP(-LN(2)/25)*EB158+(1-EXP(-LN(2)/25))/(LN(2)/25)*Calculateur!DW159*Calculateur!DY159*VLOOKUP('Données projet'!$B$14,Paramètres!$A$1:$I$89,3,0)*0.475*44/12</f>
        <v>0.2514330267230126</v>
      </c>
      <c r="EC159" s="21">
        <f>EXP(-LN(2)/2)*EC158+(1-EXP(-LN(2)/2))/(LN(2)/2)*DW159*DZ159*VLOOKUP('Données projet'!$B$14,Paramètres!$A$1:$I$89,3,0)*0.475*44/12</f>
        <v>4.7856912822468461E-19</v>
      </c>
      <c r="ED159" s="22">
        <f t="shared" si="178"/>
        <v>0.43645476286925855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-5.6843418860808015E-13</v>
      </c>
      <c r="EK159" s="17">
        <f>EJ159*VLOOKUP('Données projet'!$B$15,Paramètres!$A$1:$I$89,3,0)*VLOOKUP('Données projet'!$B$15,Paramètres!$A$1:$I$89,5,0)</f>
        <v>-3.177547114319168E-13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326.31232746914907</v>
      </c>
      <c r="EP159" s="59">
        <f t="shared" si="154"/>
        <v>330.17137761430297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0.37671498166007655</v>
      </c>
      <c r="EW159" s="21">
        <f>EXP(-LN(2)/25)*EW158+(1-EXP(-LN(2)/25))/(LN(2)/25)*Calculateur!ER159*Calculateur!ET159*VLOOKUP('Données projet'!$B$15,Paramètres!$A$1:$I$89,3,0)*0.475*44/12</f>
        <v>0.91712085660644438</v>
      </c>
      <c r="EX159" s="21">
        <f>EXP(-LN(2)/2)*EX158+(1-EXP(-LN(2)/2))/(LN(2)/2)*ER159*EU159*VLOOKUP('Données projet'!$B$15,Paramètres!$A$1:$I$89,3,0)*0.475*44/12</f>
        <v>3.5260518864991448E-18</v>
      </c>
      <c r="EY159" s="22">
        <f t="shared" si="181"/>
        <v>1.2938358382665209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255.41017495879987</v>
      </c>
      <c r="FK159" s="59">
        <f t="shared" si="156"/>
        <v>297.50513563712764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0.68812208066449476</v>
      </c>
      <c r="FR159" s="21">
        <f>EXP(-LN(2)/25)*FR158+(1-EXP(-LN(2)/25))/(LN(2)/25)*Calculateur!FM159*Calculateur!FO159*VLOOKUP('Données projet'!$B$16,Paramètres!$A$1:$I$89,3,0)*0.475*44/12</f>
        <v>0.84711764724127148</v>
      </c>
      <c r="FS159" s="21">
        <f>EXP(-LN(2)/2)*FS158+(1-EXP(-LN(2)/2))/(LN(2)/2)*FM159*FP159*VLOOKUP('Données projet'!$B$16,Paramètres!$A$1:$I$89,3,0)*0.475*44/12</f>
        <v>2.6455824441873896E-18</v>
      </c>
      <c r="FT159" s="22">
        <f t="shared" si="184"/>
        <v>1.5352397279057661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1.1368683772161603E-13</v>
      </c>
      <c r="GA159" s="17">
        <f>FZ159*VLOOKUP('Données projet'!$B$17,Paramètres!$A$1:$I$89,3,0)*VLOOKUP('Données projet'!$B$17,Paramètres!$A$1:$I$89,5,0)</f>
        <v>6.7984728957526396E-14</v>
      </c>
      <c r="GB159" s="13">
        <f t="shared" si="185"/>
        <v>1.0682447123141398E-12</v>
      </c>
      <c r="GC159" s="20">
        <f t="shared" si="186"/>
        <v>1.978932943548152E-12</v>
      </c>
      <c r="GD159" s="59">
        <f t="shared" si="134"/>
        <v>293.3333333333353</v>
      </c>
      <c r="GE159" s="59">
        <f ca="1">AVERAGE(OFFSET($GD$3,0,0,'Données projet'!$E$17+1,1))-AVERAGE(OFFSET($H$3,0,0,'Données projet'!$E$17+1,1))</f>
        <v>259.30247982593914</v>
      </c>
      <c r="GF159" s="59">
        <f t="shared" si="158"/>
        <v>275.24740346220779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</v>
      </c>
      <c r="GM159" s="21">
        <f>EXP(-LN(2)/25)*GM158+(1-EXP(-LN(2)/25))/(LN(2)/25)*Calculateur!GH159*Calculateur!GJ159*VLOOKUP('Données projet'!$B$17,Paramètres!$A$1:$I$89,3,0)*0.475*44/12</f>
        <v>0.5481218544475922</v>
      </c>
      <c r="GN159" s="21">
        <f>EXP(-LN(2)/2)*GN158+(1-EXP(-LN(2)/2))/(LN(2)/2)*GH159*GK159*VLOOKUP('Données projet'!$B$17,Paramètres!$A$1:$I$89,3,0)*0.475*44/12</f>
        <v>3.1095428079083803E-18</v>
      </c>
      <c r="GO159" s="21">
        <f t="shared" si="187"/>
        <v>0.5481218544475922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5.6843418860808015E-14</v>
      </c>
      <c r="GV159" s="17">
        <f>GU159*VLOOKUP('Données projet'!$B$18,Paramètres!$A$1:$I$89,3,0)*VLOOKUP('Données projet'!$B$18,Paramètres!$A$1:$I$89,5,0)</f>
        <v>4.5224624045658861E-14</v>
      </c>
      <c r="GW159" s="13">
        <f t="shared" si="188"/>
        <v>7.4514601661523691E-13</v>
      </c>
      <c r="GX159" s="20">
        <f t="shared" si="189"/>
        <v>1.3765621991510601E-12</v>
      </c>
      <c r="GY159" s="59">
        <f t="shared" si="137"/>
        <v>293.33333333333468</v>
      </c>
      <c r="GZ159" s="59">
        <f ca="1">AVERAGE(OFFSET($GY$3,0,0,'Données projet'!$E$18+1,1))-AVERAGE(OFFSET($H$3,0,0,'Données projet'!$E$18+1,1))</f>
        <v>199.58763537752952</v>
      </c>
      <c r="HA159" s="59">
        <f t="shared" si="160"/>
        <v>242.62852778451929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0</v>
      </c>
      <c r="HH159" s="21">
        <f>EXP(-LN(2)/25)*HH158+(1-EXP(-LN(2)/25))/(LN(2)/25)*Calculateur!HC159*Calculateur!HE159*VLOOKUP('Données projet'!$B$18,Paramètres!$A$1:$I$89,3,0)*0.475*44/12</f>
        <v>0.31255587303429777</v>
      </c>
      <c r="HI159" s="21">
        <f>EXP(-LN(2)/2)*HI158+(1-EXP(-LN(2)/2))/(LN(2)/2)*HC159*HF159*VLOOKUP('Données projet'!$B$18,Paramètres!$A$1:$I$89,3,0)*0.475*44/12</f>
        <v>1.1667704989258977E-18</v>
      </c>
      <c r="HJ159" s="22">
        <f t="shared" si="190"/>
        <v>0.31255587303429777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-1.0286385077051818E-13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237.22177246688199</v>
      </c>
      <c r="T160" s="59">
        <f t="shared" si="142"/>
        <v>149.27472147904302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9.1824892448156489E-2</v>
      </c>
      <c r="AB160" s="21">
        <f>EXP(-LN(2)/2)*AB159+(1-EXP(-LN(2)/2))/(LN(2)/2)*V160*Y160*VLOOKUP('Données projet'!$B$9,Paramètres!$A$1:$I$89,3,0)*0.475*44/12</f>
        <v>4.7450431593792369E-19</v>
      </c>
      <c r="AC160" s="22">
        <f t="shared" si="163"/>
        <v>9.1824892448156489E-2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-1.1527845344971866E-13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279.20364724206644</v>
      </c>
      <c r="AO160" s="59">
        <f t="shared" si="144"/>
        <v>173.99850582760712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0.1029072070539684</v>
      </c>
      <c r="AW160" s="21">
        <f>EXP(-LN(2)/2)*AW159+(1-EXP(-LN(2)/2))/(LN(2)/2)*AQ160*AT160*VLOOKUP('Données projet'!$B$10,Paramètres!$A$1:$I$89,3,0)*0.475*44/12</f>
        <v>5.3177207820629371E-19</v>
      </c>
      <c r="AX160" s="21">
        <f t="shared" si="166"/>
        <v>0.1029072070539684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-5.3205440053716299E-14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215.23235148064941</v>
      </c>
      <c r="BJ160" s="59">
        <f t="shared" si="146"/>
        <v>184.07239726900434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0.25343741999783187</v>
      </c>
      <c r="BQ160" s="21">
        <f>EXP(-LN(2)/25)*BQ159+(1-EXP(-LN(2)/25))/(LN(2)/25)*Calculateur!BL160*Calculateur!BN160*VLOOKUP('Données projet'!$B$11,Paramètres!$A$1:$I$89,3,0)*0.475*44/12</f>
        <v>0.23224131627111366</v>
      </c>
      <c r="BR160" s="21">
        <f>EXP(-LN(2)/2)*BR159+(1-EXP(-LN(2)/2))/(LN(2)/2)*BL160*BO160*VLOOKUP('Données projet'!$B$11,Paramètres!$A$1:$I$89,3,0)*0.475*44/12</f>
        <v>7.5378057344534765E-19</v>
      </c>
      <c r="BS160" s="22">
        <f t="shared" si="169"/>
        <v>0.48567873626894553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-1.223725121235475E-13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303.1504619632214</v>
      </c>
      <c r="CE160" s="59">
        <f t="shared" si="148"/>
        <v>188.09929616366503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0.1092399582572896</v>
      </c>
      <c r="CM160" s="21">
        <f>EXP(-LN(2)/2)*CM159+(1-EXP(-LN(2)/2))/(LN(2)/2)*CG160*CJ160*VLOOKUP('Données projet'!$B$12,Paramètres!$A$1:$I$89,3,0)*0.475*44/12</f>
        <v>5.6449651378822054E-19</v>
      </c>
      <c r="CN160" s="22">
        <f t="shared" si="172"/>
        <v>0.1092399582572896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5.6843418860808015E-14</v>
      </c>
      <c r="CU160" s="17">
        <f>CT160*VLOOKUP('Données projet'!$B$13,Paramètres!$A$1:$I$89,3,0)*VLOOKUP('Données projet'!$B$13,Paramètres!$A$1:$I$89,5,0)</f>
        <v>3.813056537183002E-14</v>
      </c>
      <c r="CV160" s="13">
        <f t="shared" si="173"/>
        <v>6.4086286045526829E-13</v>
      </c>
      <c r="CW160" s="20">
        <f t="shared" si="174"/>
        <v>1.1825802166488628E-12</v>
      </c>
      <c r="CX160" s="59">
        <f t="shared" si="122"/>
        <v>293.33333333333451</v>
      </c>
      <c r="CY160" s="59">
        <f ca="1">AVERAGE(OFFSET($CX$3,0,0,'Données projet'!$E$13+1,1))-AVERAGE(OFFSET($H$3,0,0,'Données projet'!$E$13+1,1))</f>
        <v>156.63226020379989</v>
      </c>
      <c r="CZ160" s="59">
        <f t="shared" si="150"/>
        <v>196.0481096619543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0.2563213274261133</v>
      </c>
      <c r="DH160" s="21">
        <f>EXP(-LN(2)/2)*DH159+(1-EXP(-LN(2)/2))/(LN(2)/2)*DB160*DE160*VLOOKUP('Données projet'!$B$13,Paramètres!$A$1:$I$89,3,0)*0.475*44/12</f>
        <v>6.9561465236849514E-19</v>
      </c>
      <c r="DI160" s="22">
        <f t="shared" si="175"/>
        <v>0.2563213274261133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-8.5265128291212022E-14</v>
      </c>
      <c r="DP160" s="17">
        <f>DO160*VLOOKUP('Données projet'!$B$14,Paramètres!$A$1:$I$89,3,0)*VLOOKUP('Données projet'!$B$14,Paramètres!$A$1:$I$89,5,0)</f>
        <v>-7.7147888077888636E-14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225.28075317732998</v>
      </c>
      <c r="DU160" s="59">
        <f t="shared" si="152"/>
        <v>358.43407531256207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0.1813935727525339</v>
      </c>
      <c r="EB160" s="21">
        <f>EXP(-LN(2)/25)*EB159+(1-EXP(-LN(2)/25))/(LN(2)/25)*Calculateur!DW160*Calculateur!DY160*VLOOKUP('Données projet'!$B$14,Paramètres!$A$1:$I$89,3,0)*0.475*44/12</f>
        <v>0.2445575773849836</v>
      </c>
      <c r="EC160" s="21">
        <f>EXP(-LN(2)/2)*EC159+(1-EXP(-LN(2)/2))/(LN(2)/2)*DW160*DZ160*VLOOKUP('Données projet'!$B$14,Paramètres!$A$1:$I$89,3,0)*0.475*44/12</f>
        <v>3.3839947583420886E-19</v>
      </c>
      <c r="ED160" s="22">
        <f t="shared" si="178"/>
        <v>0.4259511501375175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-5.6843418860808015E-13</v>
      </c>
      <c r="EK160" s="17">
        <f>EJ160*VLOOKUP('Données projet'!$B$15,Paramètres!$A$1:$I$89,3,0)*VLOOKUP('Données projet'!$B$15,Paramètres!$A$1:$I$89,5,0)</f>
        <v>-3.177547114319168E-13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326.31232746914907</v>
      </c>
      <c r="EP160" s="59">
        <f t="shared" si="154"/>
        <v>330.17137761430297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0.36932783064317304</v>
      </c>
      <c r="EW160" s="21">
        <f>EXP(-LN(2)/25)*EW159+(1-EXP(-LN(2)/25))/(LN(2)/25)*Calculateur!ER160*Calculateur!ET160*VLOOKUP('Données projet'!$B$15,Paramètres!$A$1:$I$89,3,0)*0.475*44/12</f>
        <v>0.89204213855325143</v>
      </c>
      <c r="EX160" s="21">
        <f>EXP(-LN(2)/2)*EX159+(1-EXP(-LN(2)/2))/(LN(2)/2)*ER160*EU160*VLOOKUP('Données projet'!$B$15,Paramètres!$A$1:$I$89,3,0)*0.475*44/12</f>
        <v>2.4932951997591639E-18</v>
      </c>
      <c r="EY160" s="22">
        <f t="shared" si="181"/>
        <v>1.2613699691964244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255.41017495879987</v>
      </c>
      <c r="FK160" s="59">
        <f t="shared" si="156"/>
        <v>297.50513563712764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0.67462842637568998</v>
      </c>
      <c r="FR160" s="21">
        <f>EXP(-LN(2)/25)*FR159+(1-EXP(-LN(2)/25))/(LN(2)/25)*Calculateur!FM160*Calculateur!FO160*VLOOKUP('Données projet'!$B$16,Paramètres!$A$1:$I$89,3,0)*0.475*44/12</f>
        <v>0.82395317062947793</v>
      </c>
      <c r="FS160" s="21">
        <f>EXP(-LN(2)/2)*FS159+(1-EXP(-LN(2)/2))/(LN(2)/2)*FM160*FP160*VLOOKUP('Données projet'!$B$16,Paramètres!$A$1:$I$89,3,0)*0.475*44/12</f>
        <v>1.8707092864729841E-18</v>
      </c>
      <c r="FT160" s="22">
        <f t="shared" si="184"/>
        <v>1.4985815970051679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1.1368683772161603E-13</v>
      </c>
      <c r="GA160" s="17">
        <f>FZ160*VLOOKUP('Données projet'!$B$17,Paramètres!$A$1:$I$89,3,0)*VLOOKUP('Données projet'!$B$17,Paramètres!$A$1:$I$89,5,0)</f>
        <v>6.7984728957526396E-14</v>
      </c>
      <c r="GB160" s="13">
        <f t="shared" si="185"/>
        <v>1.0682447123141398E-12</v>
      </c>
      <c r="GC160" s="20">
        <f t="shared" si="186"/>
        <v>1.978932943548152E-12</v>
      </c>
      <c r="GD160" s="59">
        <f t="shared" si="134"/>
        <v>293.3333333333353</v>
      </c>
      <c r="GE160" s="59">
        <f ca="1">AVERAGE(OFFSET($GD$3,0,0,'Données projet'!$E$17+1,1))-AVERAGE(OFFSET($H$3,0,0,'Données projet'!$E$17+1,1))</f>
        <v>259.30247982593914</v>
      </c>
      <c r="GF160" s="59">
        <f t="shared" si="158"/>
        <v>275.24740346220779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</v>
      </c>
      <c r="GM160" s="21">
        <f>EXP(-LN(2)/25)*GM159+(1-EXP(-LN(2)/25))/(LN(2)/25)*Calculateur!GH160*Calculateur!GJ160*VLOOKUP('Données projet'!$B$17,Paramètres!$A$1:$I$89,3,0)*0.475*44/12</f>
        <v>0.53313343351324727</v>
      </c>
      <c r="GN160" s="21">
        <f>EXP(-LN(2)/2)*GN159+(1-EXP(-LN(2)/2))/(LN(2)/2)*GH160*GK160*VLOOKUP('Données projet'!$B$17,Paramètres!$A$1:$I$89,3,0)*0.475*44/12</f>
        <v>2.1987788058618736E-18</v>
      </c>
      <c r="GO160" s="21">
        <f t="shared" si="187"/>
        <v>0.53313343351324727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5.6843418860808015E-14</v>
      </c>
      <c r="GV160" s="17">
        <f>GU160*VLOOKUP('Données projet'!$B$18,Paramètres!$A$1:$I$89,3,0)*VLOOKUP('Données projet'!$B$18,Paramètres!$A$1:$I$89,5,0)</f>
        <v>4.5224624045658861E-14</v>
      </c>
      <c r="GW160" s="13">
        <f t="shared" si="188"/>
        <v>7.4514601661523691E-13</v>
      </c>
      <c r="GX160" s="20">
        <f t="shared" si="189"/>
        <v>1.3765621991510601E-12</v>
      </c>
      <c r="GY160" s="59">
        <f t="shared" si="137"/>
        <v>293.33333333333468</v>
      </c>
      <c r="GZ160" s="59">
        <f ca="1">AVERAGE(OFFSET($GY$3,0,0,'Données projet'!$E$18+1,1))-AVERAGE(OFFSET($H$3,0,0,'Données projet'!$E$18+1,1))</f>
        <v>199.58763537752952</v>
      </c>
      <c r="HA160" s="59">
        <f t="shared" si="160"/>
        <v>242.62852778451929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0</v>
      </c>
      <c r="HH160" s="21">
        <f>EXP(-LN(2)/25)*HH159+(1-EXP(-LN(2)/25))/(LN(2)/25)*Calculateur!HC160*Calculateur!HE160*VLOOKUP('Données projet'!$B$18,Paramètres!$A$1:$I$89,3,0)*0.475*44/12</f>
        <v>0.30400901624957588</v>
      </c>
      <c r="HI160" s="21">
        <f>EXP(-LN(2)/2)*HI159+(1-EXP(-LN(2)/2))/(LN(2)/2)*HC160*HF160*VLOOKUP('Données projet'!$B$18,Paramètres!$A$1:$I$89,3,0)*0.475*44/12</f>
        <v>8.2503133187891362E-19</v>
      </c>
      <c r="HJ160" s="22">
        <f t="shared" si="190"/>
        <v>0.30400901624957588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-1.0286385077051818E-13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237.22177246688199</v>
      </c>
      <c r="T161" s="59">
        <f t="shared" si="142"/>
        <v>149.27472147904302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8.9313935935300431E-2</v>
      </c>
      <c r="AB161" s="21">
        <f>EXP(-LN(2)/2)*AB160+(1-EXP(-LN(2)/2))/(LN(2)/2)*V161*Y161*VLOOKUP('Données projet'!$B$9,Paramètres!$A$1:$I$89,3,0)*0.475*44/12</f>
        <v>3.3552521950198982E-19</v>
      </c>
      <c r="AC161" s="22">
        <f t="shared" si="163"/>
        <v>8.9313935935300431E-2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-1.1527845344971866E-13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279.20364724206644</v>
      </c>
      <c r="AO161" s="59">
        <f t="shared" si="144"/>
        <v>173.99850582760712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0.10009320406542281</v>
      </c>
      <c r="AW161" s="21">
        <f>EXP(-LN(2)/2)*AW160+(1-EXP(-LN(2)/2))/(LN(2)/2)*AQ161*AT161*VLOOKUP('Données projet'!$B$10,Paramètres!$A$1:$I$89,3,0)*0.475*44/12</f>
        <v>3.7601964254533337E-19</v>
      </c>
      <c r="AX161" s="21">
        <f t="shared" si="166"/>
        <v>0.10009320406542281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-5.3205440053716299E-14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215.23235148064941</v>
      </c>
      <c r="BJ161" s="59">
        <f t="shared" si="146"/>
        <v>184.07239726900434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0.24846766677323692</v>
      </c>
      <c r="BQ161" s="21">
        <f>EXP(-LN(2)/25)*BQ160+(1-EXP(-LN(2)/25))/(LN(2)/25)*Calculateur!BL161*Calculateur!BN161*VLOOKUP('Données projet'!$B$11,Paramètres!$A$1:$I$89,3,0)*0.475*44/12</f>
        <v>0.22589066526464002</v>
      </c>
      <c r="BR161" s="21">
        <f>EXP(-LN(2)/2)*BR160+(1-EXP(-LN(2)/2))/(LN(2)/2)*BL161*BO161*VLOOKUP('Données projet'!$B$11,Paramètres!$A$1:$I$89,3,0)*0.475*44/12</f>
        <v>5.3300335500988974E-19</v>
      </c>
      <c r="BS161" s="22">
        <f t="shared" si="169"/>
        <v>0.47435833203787692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-1.223725121235475E-13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303.1504619632214</v>
      </c>
      <c r="CE161" s="59">
        <f t="shared" si="148"/>
        <v>188.09929616366503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0.10625278585406428</v>
      </c>
      <c r="CM161" s="21">
        <f>EXP(-LN(2)/2)*CM160+(1-EXP(-LN(2)/2))/(LN(2)/2)*CG161*CJ161*VLOOKUP('Données projet'!$B$12,Paramètres!$A$1:$I$89,3,0)*0.475*44/12</f>
        <v>3.9915931285581617E-19</v>
      </c>
      <c r="CN161" s="22">
        <f t="shared" si="172"/>
        <v>0.10625278585406428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5.6843418860808015E-14</v>
      </c>
      <c r="CU161" s="17">
        <f>CT161*VLOOKUP('Données projet'!$B$13,Paramètres!$A$1:$I$89,3,0)*VLOOKUP('Données projet'!$B$13,Paramètres!$A$1:$I$89,5,0)</f>
        <v>3.813056537183002E-14</v>
      </c>
      <c r="CV161" s="13">
        <f t="shared" si="173"/>
        <v>6.4086286045526829E-13</v>
      </c>
      <c r="CW161" s="20">
        <f t="shared" si="174"/>
        <v>1.1825802166488628E-12</v>
      </c>
      <c r="CX161" s="59">
        <f t="shared" si="122"/>
        <v>293.33333333333451</v>
      </c>
      <c r="CY161" s="59">
        <f ca="1">AVERAGE(OFFSET($CX$3,0,0,'Données projet'!$E$13+1,1))-AVERAGE(OFFSET($H$3,0,0,'Données projet'!$E$13+1,1))</f>
        <v>156.63226020379989</v>
      </c>
      <c r="CZ161" s="59">
        <f t="shared" si="150"/>
        <v>196.0481096619543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0.24931220724829345</v>
      </c>
      <c r="DH161" s="21">
        <f>EXP(-LN(2)/2)*DH160+(1-EXP(-LN(2)/2))/(LN(2)/2)*DB161*DE161*VLOOKUP('Données projet'!$B$13,Paramètres!$A$1:$I$89,3,0)*0.475*44/12</f>
        <v>4.9187383778248581E-19</v>
      </c>
      <c r="DI161" s="22">
        <f t="shared" si="175"/>
        <v>0.24931220724829345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-8.5265128291212022E-14</v>
      </c>
      <c r="DP161" s="17">
        <f>DO161*VLOOKUP('Données projet'!$B$14,Paramètres!$A$1:$I$89,3,0)*VLOOKUP('Données projet'!$B$14,Paramètres!$A$1:$I$89,5,0)</f>
        <v>-7.7147888077888636E-14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225.28075317732998</v>
      </c>
      <c r="DU161" s="59">
        <f t="shared" si="152"/>
        <v>358.43407531256207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0.17783655543001137</v>
      </c>
      <c r="EB161" s="21">
        <f>EXP(-LN(2)/25)*EB160+(1-EXP(-LN(2)/25))/(LN(2)/25)*Calculateur!DW161*Calculateur!DY161*VLOOKUP('Données projet'!$B$14,Paramètres!$A$1:$I$89,3,0)*0.475*44/12</f>
        <v>0.23787013757066716</v>
      </c>
      <c r="EC161" s="21">
        <f>EXP(-LN(2)/2)*EC160+(1-EXP(-LN(2)/2))/(LN(2)/2)*DW161*DZ161*VLOOKUP('Données projet'!$B$14,Paramètres!$A$1:$I$89,3,0)*0.475*44/12</f>
        <v>2.392845641123423E-19</v>
      </c>
      <c r="ED161" s="22">
        <f t="shared" si="178"/>
        <v>0.41570669300067853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-5.6843418860808015E-13</v>
      </c>
      <c r="EK161" s="17">
        <f>EJ161*VLOOKUP('Données projet'!$B$15,Paramètres!$A$1:$I$89,3,0)*VLOOKUP('Données projet'!$B$15,Paramètres!$A$1:$I$89,5,0)</f>
        <v>-3.177547114319168E-13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326.31232746914907</v>
      </c>
      <c r="EP161" s="59">
        <f t="shared" si="154"/>
        <v>330.17137761430297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0.36208553715199376</v>
      </c>
      <c r="EW161" s="21">
        <f>EXP(-LN(2)/25)*EW160+(1-EXP(-LN(2)/25))/(LN(2)/25)*Calculateur!ER161*Calculateur!ET161*VLOOKUP('Données projet'!$B$15,Paramètres!$A$1:$I$89,3,0)*0.475*44/12</f>
        <v>0.86764919936405549</v>
      </c>
      <c r="EX161" s="21">
        <f>EXP(-LN(2)/2)*EX160+(1-EXP(-LN(2)/2))/(LN(2)/2)*ER161*EU161*VLOOKUP('Données projet'!$B$15,Paramètres!$A$1:$I$89,3,0)*0.475*44/12</f>
        <v>1.7630259432495724E-18</v>
      </c>
      <c r="EY161" s="22">
        <f t="shared" si="181"/>
        <v>1.2297347365160491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255.41017495879987</v>
      </c>
      <c r="FK161" s="59">
        <f t="shared" si="156"/>
        <v>297.50513563712764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0.66139937441717223</v>
      </c>
      <c r="FR161" s="21">
        <f>EXP(-LN(2)/25)*FR160+(1-EXP(-LN(2)/25))/(LN(2)/25)*Calculateur!FM161*Calculateur!FO161*VLOOKUP('Données projet'!$B$16,Paramètres!$A$1:$I$89,3,0)*0.475*44/12</f>
        <v>0.80142212784880074</v>
      </c>
      <c r="FS161" s="21">
        <f>EXP(-LN(2)/2)*FS160+(1-EXP(-LN(2)/2))/(LN(2)/2)*FM161*FP161*VLOOKUP('Données projet'!$B$16,Paramètres!$A$1:$I$89,3,0)*0.475*44/12</f>
        <v>1.3227912220936948E-18</v>
      </c>
      <c r="FT161" s="22">
        <f t="shared" si="184"/>
        <v>1.462821502265973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1.1368683772161603E-13</v>
      </c>
      <c r="GA161" s="17">
        <f>FZ161*VLOOKUP('Données projet'!$B$17,Paramètres!$A$1:$I$89,3,0)*VLOOKUP('Données projet'!$B$17,Paramètres!$A$1:$I$89,5,0)</f>
        <v>6.7984728957526396E-14</v>
      </c>
      <c r="GB161" s="13">
        <f t="shared" si="185"/>
        <v>1.0682447123141398E-12</v>
      </c>
      <c r="GC161" s="20">
        <f t="shared" si="186"/>
        <v>1.978932943548152E-12</v>
      </c>
      <c r="GD161" s="59">
        <f t="shared" si="134"/>
        <v>293.3333333333353</v>
      </c>
      <c r="GE161" s="59">
        <f ca="1">AVERAGE(OFFSET($GD$3,0,0,'Données projet'!$E$17+1,1))-AVERAGE(OFFSET($H$3,0,0,'Données projet'!$E$17+1,1))</f>
        <v>259.30247982593914</v>
      </c>
      <c r="GF161" s="59">
        <f t="shared" si="158"/>
        <v>275.24740346220779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</v>
      </c>
      <c r="GM161" s="21">
        <f>EXP(-LN(2)/25)*GM160+(1-EXP(-LN(2)/25))/(LN(2)/25)*Calculateur!GH161*Calculateur!GJ161*VLOOKUP('Données projet'!$B$17,Paramètres!$A$1:$I$89,3,0)*0.475*44/12</f>
        <v>0.51855487173755876</v>
      </c>
      <c r="GN161" s="21">
        <f>EXP(-LN(2)/2)*GN160+(1-EXP(-LN(2)/2))/(LN(2)/2)*GH161*GK161*VLOOKUP('Données projet'!$B$17,Paramètres!$A$1:$I$89,3,0)*0.475*44/12</f>
        <v>1.5547714039541902E-18</v>
      </c>
      <c r="GO161" s="21">
        <f t="shared" si="187"/>
        <v>0.51855487173755876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5.6843418860808015E-14</v>
      </c>
      <c r="GV161" s="17">
        <f>GU161*VLOOKUP('Données projet'!$B$18,Paramètres!$A$1:$I$89,3,0)*VLOOKUP('Données projet'!$B$18,Paramètres!$A$1:$I$89,5,0)</f>
        <v>4.5224624045658861E-14</v>
      </c>
      <c r="GW161" s="13">
        <f t="shared" si="188"/>
        <v>7.4514601661523691E-13</v>
      </c>
      <c r="GX161" s="20">
        <f t="shared" si="189"/>
        <v>1.3765621991510601E-12</v>
      </c>
      <c r="GY161" s="59">
        <f t="shared" si="137"/>
        <v>293.33333333333468</v>
      </c>
      <c r="GZ161" s="59">
        <f ca="1">AVERAGE(OFFSET($GY$3,0,0,'Données projet'!$E$18+1,1))-AVERAGE(OFFSET($H$3,0,0,'Données projet'!$E$18+1,1))</f>
        <v>199.58763537752952</v>
      </c>
      <c r="HA161" s="59">
        <f t="shared" si="160"/>
        <v>242.62852778451929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0</v>
      </c>
      <c r="HH161" s="21">
        <f>EXP(-LN(2)/25)*HH160+(1-EXP(-LN(2)/25))/(LN(2)/25)*Calculateur!HC161*Calculateur!HE161*VLOOKUP('Données projet'!$B$18,Paramètres!$A$1:$I$89,3,0)*0.475*44/12</f>
        <v>0.29569587371309186</v>
      </c>
      <c r="HI161" s="21">
        <f>EXP(-LN(2)/2)*HI160+(1-EXP(-LN(2)/2))/(LN(2)/2)*HC161*HF161*VLOOKUP('Données projet'!$B$18,Paramètres!$A$1:$I$89,3,0)*0.475*44/12</f>
        <v>5.8338524946294884E-19</v>
      </c>
      <c r="HJ161" s="22">
        <f t="shared" si="190"/>
        <v>0.29569587371309186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-1.0286385077051818E-13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237.22177246688199</v>
      </c>
      <c r="T162" s="59">
        <f t="shared" si="142"/>
        <v>149.27472147904302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8.6871641660333884E-2</v>
      </c>
      <c r="AB162" s="21">
        <f>EXP(-LN(2)/2)*AB161+(1-EXP(-LN(2)/2))/(LN(2)/2)*V162*Y162*VLOOKUP('Données projet'!$B$9,Paramètres!$A$1:$I$89,3,0)*0.475*44/12</f>
        <v>2.3725215796896184E-19</v>
      </c>
      <c r="AC162" s="22">
        <f t="shared" si="163"/>
        <v>8.6871641660333884E-2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-1.1527845344971866E-13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279.20364724206644</v>
      </c>
      <c r="AO162" s="59">
        <f t="shared" si="144"/>
        <v>173.99850582760712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9.7356150136580985E-2</v>
      </c>
      <c r="AW162" s="21">
        <f>EXP(-LN(2)/2)*AW161+(1-EXP(-LN(2)/2))/(LN(2)/2)*AQ162*AT162*VLOOKUP('Données projet'!$B$10,Paramètres!$A$1:$I$89,3,0)*0.475*44/12</f>
        <v>2.6588603910314685E-19</v>
      </c>
      <c r="AX162" s="21">
        <f t="shared" si="166"/>
        <v>9.7356150136580985E-2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-5.3205440053716299E-14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215.23235148064941</v>
      </c>
      <c r="BJ162" s="59">
        <f t="shared" si="146"/>
        <v>184.07239726900434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0.24359536737812612</v>
      </c>
      <c r="BQ162" s="21">
        <f>EXP(-LN(2)/25)*BQ161+(1-EXP(-LN(2)/25))/(LN(2)/25)*Calculateur!BL162*Calculateur!BN162*VLOOKUP('Données projet'!$B$11,Paramètres!$A$1:$I$89,3,0)*0.475*44/12</f>
        <v>0.21971367314390464</v>
      </c>
      <c r="BR162" s="21">
        <f>EXP(-LN(2)/2)*BR161+(1-EXP(-LN(2)/2))/(LN(2)/2)*BL162*BO162*VLOOKUP('Données projet'!$B$11,Paramètres!$A$1:$I$89,3,0)*0.475*44/12</f>
        <v>3.7689028672267382E-19</v>
      </c>
      <c r="BS162" s="22">
        <f t="shared" si="169"/>
        <v>0.46330904052203076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-1.223725121235475E-13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303.1504619632214</v>
      </c>
      <c r="CE162" s="59">
        <f t="shared" si="148"/>
        <v>188.09929616366503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0.10334729783729373</v>
      </c>
      <c r="CM162" s="21">
        <f>EXP(-LN(2)/2)*CM161+(1-EXP(-LN(2)/2))/(LN(2)/2)*CG162*CJ162*VLOOKUP('Données projet'!$B$12,Paramètres!$A$1:$I$89,3,0)*0.475*44/12</f>
        <v>2.8224825689411027E-19</v>
      </c>
      <c r="CN162" s="22">
        <f t="shared" si="172"/>
        <v>0.10334729783729373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5.6843418860808015E-14</v>
      </c>
      <c r="CU162" s="17">
        <f>CT162*VLOOKUP('Données projet'!$B$13,Paramètres!$A$1:$I$89,3,0)*VLOOKUP('Données projet'!$B$13,Paramètres!$A$1:$I$89,5,0)</f>
        <v>3.813056537183002E-14</v>
      </c>
      <c r="CV162" s="13">
        <f t="shared" si="173"/>
        <v>6.4086286045526829E-13</v>
      </c>
      <c r="CW162" s="20">
        <f t="shared" si="174"/>
        <v>1.1825802166488628E-12</v>
      </c>
      <c r="CX162" s="59">
        <f t="shared" si="122"/>
        <v>293.33333333333451</v>
      </c>
      <c r="CY162" s="59">
        <f ca="1">AVERAGE(OFFSET($CX$3,0,0,'Données projet'!$E$13+1,1))-AVERAGE(OFFSET($H$3,0,0,'Données projet'!$E$13+1,1))</f>
        <v>156.63226020379989</v>
      </c>
      <c r="CZ162" s="59">
        <f t="shared" si="150"/>
        <v>196.0481096619543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0.2424947518303297</v>
      </c>
      <c r="DH162" s="21">
        <f>EXP(-LN(2)/2)*DH161+(1-EXP(-LN(2)/2))/(LN(2)/2)*DB162*DE162*VLOOKUP('Données projet'!$B$13,Paramètres!$A$1:$I$89,3,0)*0.475*44/12</f>
        <v>3.4780732618424757E-19</v>
      </c>
      <c r="DI162" s="22">
        <f t="shared" si="175"/>
        <v>0.2424947518303297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-8.5265128291212022E-14</v>
      </c>
      <c r="DP162" s="17">
        <f>DO162*VLOOKUP('Données projet'!$B$14,Paramètres!$A$1:$I$89,3,0)*VLOOKUP('Données projet'!$B$14,Paramètres!$A$1:$I$89,5,0)</f>
        <v>-7.7147888077888636E-14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225.28075317732998</v>
      </c>
      <c r="DU162" s="59">
        <f t="shared" si="152"/>
        <v>358.43407531256207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0.17434928904761718</v>
      </c>
      <c r="EB162" s="21">
        <f>EXP(-LN(2)/25)*EB161+(1-EXP(-LN(2)/25))/(LN(2)/25)*Calculateur!DW162*Calculateur!DY162*VLOOKUP('Données projet'!$B$14,Paramètres!$A$1:$I$89,3,0)*0.475*44/12</f>
        <v>0.2313655661497504</v>
      </c>
      <c r="EC162" s="21">
        <f>EXP(-LN(2)/2)*EC161+(1-EXP(-LN(2)/2))/(LN(2)/2)*DW162*DZ162*VLOOKUP('Données projet'!$B$14,Paramètres!$A$1:$I$89,3,0)*0.475*44/12</f>
        <v>1.6919973791710443E-19</v>
      </c>
      <c r="ED162" s="22">
        <f t="shared" si="178"/>
        <v>0.40571485519736761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-5.6843418860808015E-13</v>
      </c>
      <c r="EK162" s="17">
        <f>EJ162*VLOOKUP('Données projet'!$B$15,Paramètres!$A$1:$I$89,3,0)*VLOOKUP('Données projet'!$B$15,Paramètres!$A$1:$I$89,5,0)</f>
        <v>-3.177547114319168E-13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326.31232746914907</v>
      </c>
      <c r="EP162" s="59">
        <f t="shared" si="154"/>
        <v>330.17137761430297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0.35498526061881369</v>
      </c>
      <c r="EW162" s="21">
        <f>EXP(-LN(2)/25)*EW161+(1-EXP(-LN(2)/25))/(LN(2)/25)*Calculateur!ER162*Calculateur!ET162*VLOOKUP('Données projet'!$B$15,Paramètres!$A$1:$I$89,3,0)*0.475*44/12</f>
        <v>0.843923286379757</v>
      </c>
      <c r="EX162" s="21">
        <f>EXP(-LN(2)/2)*EX161+(1-EXP(-LN(2)/2))/(LN(2)/2)*ER162*EU162*VLOOKUP('Données projet'!$B$15,Paramètres!$A$1:$I$89,3,0)*0.475*44/12</f>
        <v>1.2466475998795819E-18</v>
      </c>
      <c r="EY162" s="22">
        <f t="shared" si="181"/>
        <v>1.1989085469985707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255.41017495879987</v>
      </c>
      <c r="FK162" s="59">
        <f t="shared" si="156"/>
        <v>297.50513563712764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0.64842973609863608</v>
      </c>
      <c r="FR162" s="21">
        <f>EXP(-LN(2)/25)*FR161+(1-EXP(-LN(2)/25))/(LN(2)/25)*Calculateur!FM162*Calculateur!FO162*VLOOKUP('Données projet'!$B$16,Paramètres!$A$1:$I$89,3,0)*0.475*44/12</f>
        <v>0.77950719761781728</v>
      </c>
      <c r="FS162" s="21">
        <f>EXP(-LN(2)/2)*FS161+(1-EXP(-LN(2)/2))/(LN(2)/2)*FM162*FP162*VLOOKUP('Données projet'!$B$16,Paramètres!$A$1:$I$89,3,0)*0.475*44/12</f>
        <v>9.3535464323649203E-19</v>
      </c>
      <c r="FT162" s="22">
        <f t="shared" si="184"/>
        <v>1.4279369337164534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1.1368683772161603E-13</v>
      </c>
      <c r="GA162" s="17">
        <f>FZ162*VLOOKUP('Données projet'!$B$17,Paramètres!$A$1:$I$89,3,0)*VLOOKUP('Données projet'!$B$17,Paramètres!$A$1:$I$89,5,0)</f>
        <v>6.7984728957526396E-14</v>
      </c>
      <c r="GB162" s="13">
        <f t="shared" si="185"/>
        <v>1.0682447123141398E-12</v>
      </c>
      <c r="GC162" s="20">
        <f t="shared" si="186"/>
        <v>1.978932943548152E-12</v>
      </c>
      <c r="GD162" s="59">
        <f t="shared" si="134"/>
        <v>293.3333333333353</v>
      </c>
      <c r="GE162" s="59">
        <f ca="1">AVERAGE(OFFSET($GD$3,0,0,'Données projet'!$E$17+1,1))-AVERAGE(OFFSET($H$3,0,0,'Données projet'!$E$17+1,1))</f>
        <v>259.30247982593914</v>
      </c>
      <c r="GF162" s="59">
        <f t="shared" si="158"/>
        <v>275.24740346220779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</v>
      </c>
      <c r="GM162" s="21">
        <f>EXP(-LN(2)/25)*GM161+(1-EXP(-LN(2)/25))/(LN(2)/25)*Calculateur!GH162*Calculateur!GJ162*VLOOKUP('Données projet'!$B$17,Paramètres!$A$1:$I$89,3,0)*0.475*44/12</f>
        <v>0.50437496150027972</v>
      </c>
      <c r="GN162" s="21">
        <f>EXP(-LN(2)/2)*GN161+(1-EXP(-LN(2)/2))/(LN(2)/2)*GH162*GK162*VLOOKUP('Données projet'!$B$17,Paramètres!$A$1:$I$89,3,0)*0.475*44/12</f>
        <v>1.0993894029309368E-18</v>
      </c>
      <c r="GO162" s="21">
        <f t="shared" si="187"/>
        <v>0.50437496150027972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5.6843418860808015E-14</v>
      </c>
      <c r="GV162" s="17">
        <f>GU162*VLOOKUP('Données projet'!$B$18,Paramètres!$A$1:$I$89,3,0)*VLOOKUP('Données projet'!$B$18,Paramètres!$A$1:$I$89,5,0)</f>
        <v>4.5224624045658861E-14</v>
      </c>
      <c r="GW162" s="13">
        <f t="shared" si="188"/>
        <v>7.4514601661523691E-13</v>
      </c>
      <c r="GX162" s="20">
        <f t="shared" si="189"/>
        <v>1.3765621991510601E-12</v>
      </c>
      <c r="GY162" s="59">
        <f t="shared" si="137"/>
        <v>293.33333333333468</v>
      </c>
      <c r="GZ162" s="59">
        <f ca="1">AVERAGE(OFFSET($GY$3,0,0,'Données projet'!$E$18+1,1))-AVERAGE(OFFSET($H$3,0,0,'Données projet'!$E$18+1,1))</f>
        <v>199.58763537752952</v>
      </c>
      <c r="HA162" s="59">
        <f t="shared" si="160"/>
        <v>242.62852778451929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0</v>
      </c>
      <c r="HH162" s="21">
        <f>EXP(-LN(2)/25)*HH161+(1-EXP(-LN(2)/25))/(LN(2)/25)*Calculateur!HC162*Calculateur!HE162*VLOOKUP('Données projet'!$B$18,Paramètres!$A$1:$I$89,3,0)*0.475*44/12</f>
        <v>0.28761005449643717</v>
      </c>
      <c r="HI162" s="21">
        <f>EXP(-LN(2)/2)*HI161+(1-EXP(-LN(2)/2))/(LN(2)/2)*HC162*HF162*VLOOKUP('Données projet'!$B$18,Paramètres!$A$1:$I$89,3,0)*0.475*44/12</f>
        <v>4.1251566593945681E-19</v>
      </c>
      <c r="HJ162" s="22">
        <f t="shared" si="190"/>
        <v>0.28761005449643717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-1.0286385077051818E-13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237.22177246688199</v>
      </c>
      <c r="T163" s="59">
        <f t="shared" si="142"/>
        <v>149.27472147904302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8.4496132050750961E-2</v>
      </c>
      <c r="AB163" s="21">
        <f>EXP(-LN(2)/2)*AB162+(1-EXP(-LN(2)/2))/(LN(2)/2)*V163*Y163*VLOOKUP('Données projet'!$B$9,Paramètres!$A$1:$I$89,3,0)*0.475*44/12</f>
        <v>1.6776260975099491E-19</v>
      </c>
      <c r="AC163" s="22">
        <f t="shared" si="163"/>
        <v>8.4496132050750961E-2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-1.1527845344971866E-13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279.20364724206644</v>
      </c>
      <c r="AO163" s="59">
        <f t="shared" si="144"/>
        <v>173.99850582760712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9.4693941091358758E-2</v>
      </c>
      <c r="AW163" s="21">
        <f>EXP(-LN(2)/2)*AW162+(1-EXP(-LN(2)/2))/(LN(2)/2)*AQ163*AT163*VLOOKUP('Données projet'!$B$10,Paramètres!$A$1:$I$89,3,0)*0.475*44/12</f>
        <v>1.8800982127266668E-19</v>
      </c>
      <c r="AX163" s="21">
        <f t="shared" si="166"/>
        <v>9.4693941091358758E-2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-5.3205440053716299E-14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215.23235148064941</v>
      </c>
      <c r="BJ163" s="59">
        <f t="shared" si="146"/>
        <v>184.07239726900434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0.23881861080234426</v>
      </c>
      <c r="BQ163" s="21">
        <f>EXP(-LN(2)/25)*BQ162+(1-EXP(-LN(2)/25))/(LN(2)/25)*Calculateur!BL163*Calculateur!BN163*VLOOKUP('Données projet'!$B$11,Paramètres!$A$1:$I$89,3,0)*0.475*44/12</f>
        <v>0.21370559119754465</v>
      </c>
      <c r="BR163" s="21">
        <f>EXP(-LN(2)/2)*BR162+(1-EXP(-LN(2)/2))/(LN(2)/2)*BL163*BO163*VLOOKUP('Données projet'!$B$11,Paramètres!$A$1:$I$89,3,0)*0.475*44/12</f>
        <v>2.6650167750494487E-19</v>
      </c>
      <c r="BS163" s="22">
        <f t="shared" si="169"/>
        <v>0.45252420199988891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-1.223725121235475E-13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303.1504619632214</v>
      </c>
      <c r="CE163" s="59">
        <f t="shared" si="148"/>
        <v>188.09929616366503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0.10052126054313473</v>
      </c>
      <c r="CM163" s="21">
        <f>EXP(-LN(2)/2)*CM162+(1-EXP(-LN(2)/2))/(LN(2)/2)*CG163*CJ163*VLOOKUP('Données projet'!$B$12,Paramètres!$A$1:$I$89,3,0)*0.475*44/12</f>
        <v>1.9957965642790809E-19</v>
      </c>
      <c r="CN163" s="22">
        <f t="shared" si="172"/>
        <v>0.10052126054313473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5.6843418860808015E-14</v>
      </c>
      <c r="CU163" s="17">
        <f>CT163*VLOOKUP('Données projet'!$B$13,Paramètres!$A$1:$I$89,3,0)*VLOOKUP('Données projet'!$B$13,Paramètres!$A$1:$I$89,5,0)</f>
        <v>3.813056537183002E-14</v>
      </c>
      <c r="CV163" s="13">
        <f t="shared" si="173"/>
        <v>6.4086286045526829E-13</v>
      </c>
      <c r="CW163" s="20">
        <f t="shared" si="174"/>
        <v>1.1825802166488628E-12</v>
      </c>
      <c r="CX163" s="59">
        <f t="shared" si="122"/>
        <v>293.33333333333451</v>
      </c>
      <c r="CY163" s="59">
        <f ca="1">AVERAGE(OFFSET($CX$3,0,0,'Données projet'!$E$13+1,1))-AVERAGE(OFFSET($H$3,0,0,'Données projet'!$E$13+1,1))</f>
        <v>156.63226020379989</v>
      </c>
      <c r="CZ163" s="59">
        <f t="shared" si="150"/>
        <v>196.0481096619543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0.23586372008928458</v>
      </c>
      <c r="DH163" s="21">
        <f>EXP(-LN(2)/2)*DH162+(1-EXP(-LN(2)/2))/(LN(2)/2)*DB163*DE163*VLOOKUP('Données projet'!$B$13,Paramètres!$A$1:$I$89,3,0)*0.475*44/12</f>
        <v>2.4593691889124291E-19</v>
      </c>
      <c r="DI163" s="22">
        <f t="shared" si="175"/>
        <v>0.23586372008928458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-8.5265128291212022E-14</v>
      </c>
      <c r="DP163" s="17">
        <f>DO163*VLOOKUP('Données projet'!$B$14,Paramètres!$A$1:$I$89,3,0)*VLOOKUP('Données projet'!$B$14,Paramètres!$A$1:$I$89,5,0)</f>
        <v>-7.7147888077888636E-14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225.28075317732998</v>
      </c>
      <c r="DU163" s="59">
        <f t="shared" si="152"/>
        <v>358.43407531256207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0.17093040583195926</v>
      </c>
      <c r="EB163" s="21">
        <f>EXP(-LN(2)/25)*EB162+(1-EXP(-LN(2)/25))/(LN(2)/25)*Calculateur!DW163*Calculateur!DY163*VLOOKUP('Données projet'!$B$14,Paramètres!$A$1:$I$89,3,0)*0.475*44/12</f>
        <v>0.22503886257639916</v>
      </c>
      <c r="EC163" s="21">
        <f>EXP(-LN(2)/2)*EC162+(1-EXP(-LN(2)/2))/(LN(2)/2)*DW163*DZ163*VLOOKUP('Données projet'!$B$14,Paramètres!$A$1:$I$89,3,0)*0.475*44/12</f>
        <v>1.1964228205617115E-19</v>
      </c>
      <c r="ED163" s="22">
        <f t="shared" si="178"/>
        <v>0.39596926840835844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-5.6843418860808015E-13</v>
      </c>
      <c r="EK163" s="17">
        <f>EJ163*VLOOKUP('Données projet'!$B$15,Paramètres!$A$1:$I$89,3,0)*VLOOKUP('Données projet'!$B$15,Paramètres!$A$1:$I$89,5,0)</f>
        <v>-3.177547114319168E-13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326.31232746914907</v>
      </c>
      <c r="EP163" s="59">
        <f t="shared" si="154"/>
        <v>330.17137761430297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0.34802421617770818</v>
      </c>
      <c r="EW163" s="21">
        <f>EXP(-LN(2)/25)*EW162+(1-EXP(-LN(2)/25))/(LN(2)/25)*Calculateur!ER163*Calculateur!ET163*VLOOKUP('Données projet'!$B$15,Paramètres!$A$1:$I$89,3,0)*0.475*44/12</f>
        <v>0.82084615973370567</v>
      </c>
      <c r="EX163" s="21">
        <f>EXP(-LN(2)/2)*EX162+(1-EXP(-LN(2)/2))/(LN(2)/2)*ER163*EU163*VLOOKUP('Données projet'!$B$15,Paramètres!$A$1:$I$89,3,0)*0.475*44/12</f>
        <v>8.8151297162478619E-19</v>
      </c>
      <c r="EY163" s="22">
        <f t="shared" si="181"/>
        <v>1.1688703759114139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255.41017495879987</v>
      </c>
      <c r="FK163" s="59">
        <f t="shared" si="156"/>
        <v>297.50513563712764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0.63571442447682813</v>
      </c>
      <c r="FR163" s="21">
        <f>EXP(-LN(2)/25)*FR162+(1-EXP(-LN(2)/25))/(LN(2)/25)*Calculateur!FM163*Calculateur!FO163*VLOOKUP('Données projet'!$B$16,Paramètres!$A$1:$I$89,3,0)*0.475*44/12</f>
        <v>0.75819153230645608</v>
      </c>
      <c r="FS163" s="21">
        <f>EXP(-LN(2)/2)*FS162+(1-EXP(-LN(2)/2))/(LN(2)/2)*FM163*FP163*VLOOKUP('Données projet'!$B$16,Paramètres!$A$1:$I$89,3,0)*0.475*44/12</f>
        <v>6.613956110468474E-19</v>
      </c>
      <c r="FT163" s="22">
        <f t="shared" si="184"/>
        <v>1.3939059567832843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1.1368683772161603E-13</v>
      </c>
      <c r="GA163" s="17">
        <f>FZ163*VLOOKUP('Données projet'!$B$17,Paramètres!$A$1:$I$89,3,0)*VLOOKUP('Données projet'!$B$17,Paramètres!$A$1:$I$89,5,0)</f>
        <v>6.7984728957526396E-14</v>
      </c>
      <c r="GB163" s="13">
        <f t="shared" si="185"/>
        <v>1.0682447123141398E-12</v>
      </c>
      <c r="GC163" s="20">
        <f t="shared" si="186"/>
        <v>1.978932943548152E-12</v>
      </c>
      <c r="GD163" s="59">
        <f t="shared" si="134"/>
        <v>293.3333333333353</v>
      </c>
      <c r="GE163" s="59">
        <f ca="1">AVERAGE(OFFSET($GD$3,0,0,'Données projet'!$E$17+1,1))-AVERAGE(OFFSET($H$3,0,0,'Données projet'!$E$17+1,1))</f>
        <v>259.30247982593914</v>
      </c>
      <c r="GF163" s="59">
        <f t="shared" si="158"/>
        <v>275.24740346220779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</v>
      </c>
      <c r="GM163" s="21">
        <f>EXP(-LN(2)/25)*GM162+(1-EXP(-LN(2)/25))/(LN(2)/25)*Calculateur!GH163*Calculateur!GJ163*VLOOKUP('Données projet'!$B$17,Paramètres!$A$1:$I$89,3,0)*0.475*44/12</f>
        <v>0.4905828016541281</v>
      </c>
      <c r="GN163" s="21">
        <f>EXP(-LN(2)/2)*GN162+(1-EXP(-LN(2)/2))/(LN(2)/2)*GH163*GK163*VLOOKUP('Données projet'!$B$17,Paramètres!$A$1:$I$89,3,0)*0.475*44/12</f>
        <v>7.7738570197709508E-19</v>
      </c>
      <c r="GO163" s="21">
        <f t="shared" si="187"/>
        <v>0.4905828016541281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5.6843418860808015E-14</v>
      </c>
      <c r="GV163" s="17">
        <f>GU163*VLOOKUP('Données projet'!$B$18,Paramètres!$A$1:$I$89,3,0)*VLOOKUP('Données projet'!$B$18,Paramètres!$A$1:$I$89,5,0)</f>
        <v>4.5224624045658861E-14</v>
      </c>
      <c r="GW163" s="13">
        <f t="shared" si="188"/>
        <v>7.4514601661523691E-13</v>
      </c>
      <c r="GX163" s="20">
        <f t="shared" si="189"/>
        <v>1.3765621991510601E-12</v>
      </c>
      <c r="GY163" s="59">
        <f t="shared" si="137"/>
        <v>293.33333333333468</v>
      </c>
      <c r="GZ163" s="59">
        <f ca="1">AVERAGE(OFFSET($GY$3,0,0,'Données projet'!$E$18+1,1))-AVERAGE(OFFSET($H$3,0,0,'Données projet'!$E$18+1,1))</f>
        <v>199.58763537752952</v>
      </c>
      <c r="HA163" s="59">
        <f t="shared" si="160"/>
        <v>242.62852778451929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0</v>
      </c>
      <c r="HH163" s="21">
        <f>EXP(-LN(2)/25)*HH162+(1-EXP(-LN(2)/25))/(LN(2)/25)*Calculateur!HC163*Calculateur!HE163*VLOOKUP('Données projet'!$B$18,Paramètres!$A$1:$I$89,3,0)*0.475*44/12</f>
        <v>0.2797453424314767</v>
      </c>
      <c r="HI163" s="21">
        <f>EXP(-LN(2)/2)*HI162+(1-EXP(-LN(2)/2))/(LN(2)/2)*HC163*HF163*VLOOKUP('Données projet'!$B$18,Paramètres!$A$1:$I$89,3,0)*0.475*44/12</f>
        <v>2.9169262473147442E-19</v>
      </c>
      <c r="HJ163" s="22">
        <f t="shared" si="190"/>
        <v>0.2797453424314767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-1.0286385077051818E-13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237.22177246688199</v>
      </c>
      <c r="T164" s="59">
        <f t="shared" si="142"/>
        <v>149.27472147904302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8.2185580876364711E-2</v>
      </c>
      <c r="AB164" s="21">
        <f>EXP(-LN(2)/2)*AB163+(1-EXP(-LN(2)/2))/(LN(2)/2)*V164*Y164*VLOOKUP('Données projet'!$B$9,Paramètres!$A$1:$I$89,3,0)*0.475*44/12</f>
        <v>1.1862607898448092E-19</v>
      </c>
      <c r="AC164" s="22">
        <f t="shared" si="163"/>
        <v>8.2185580876364711E-2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-1.1527845344971866E-13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279.20364724206644</v>
      </c>
      <c r="AO164" s="59">
        <f t="shared" si="144"/>
        <v>173.99850582760712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9.2104530292477615E-2</v>
      </c>
      <c r="AW164" s="21">
        <f>EXP(-LN(2)/2)*AW163+(1-EXP(-LN(2)/2))/(LN(2)/2)*AQ164*AT164*VLOOKUP('Données projet'!$B$10,Paramètres!$A$1:$I$89,3,0)*0.475*44/12</f>
        <v>1.3294301955157343E-19</v>
      </c>
      <c r="AX164" s="21">
        <f t="shared" si="166"/>
        <v>9.2104530292477615E-2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-5.3205440053716299E-14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215.23235148064941</v>
      </c>
      <c r="BJ164" s="59">
        <f t="shared" si="146"/>
        <v>184.07239726900434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0.23413552350947966</v>
      </c>
      <c r="BQ164" s="21">
        <f>EXP(-LN(2)/25)*BQ163+(1-EXP(-LN(2)/25))/(LN(2)/25)*Calculateur!BL164*Calculateur!BN164*VLOOKUP('Données projet'!$B$11,Paramètres!$A$1:$I$89,3,0)*0.475*44/12</f>
        <v>0.20786180056795917</v>
      </c>
      <c r="BR164" s="21">
        <f>EXP(-LN(2)/2)*BR163+(1-EXP(-LN(2)/2))/(LN(2)/2)*BL164*BO164*VLOOKUP('Données projet'!$B$11,Paramètres!$A$1:$I$89,3,0)*0.475*44/12</f>
        <v>1.8844514336133691E-19</v>
      </c>
      <c r="BS164" s="22">
        <f t="shared" si="169"/>
        <v>0.44199732407743886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-1.223725121235475E-13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303.1504619632214</v>
      </c>
      <c r="CE164" s="59">
        <f t="shared" si="148"/>
        <v>188.09929616366503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9.777250138739936E-2</v>
      </c>
      <c r="CM164" s="21">
        <f>EXP(-LN(2)/2)*CM163+(1-EXP(-LN(2)/2))/(LN(2)/2)*CG164*CJ164*VLOOKUP('Données projet'!$B$12,Paramètres!$A$1:$I$89,3,0)*0.475*44/12</f>
        <v>1.4112412844705513E-19</v>
      </c>
      <c r="CN164" s="22">
        <f t="shared" si="172"/>
        <v>9.777250138739936E-2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5.6843418860808015E-14</v>
      </c>
      <c r="CU164" s="17">
        <f>CT164*VLOOKUP('Données projet'!$B$13,Paramètres!$A$1:$I$89,3,0)*VLOOKUP('Données projet'!$B$13,Paramètres!$A$1:$I$89,5,0)</f>
        <v>3.813056537183002E-14</v>
      </c>
      <c r="CV164" s="13">
        <f t="shared" si="173"/>
        <v>6.4086286045526829E-13</v>
      </c>
      <c r="CW164" s="20">
        <f t="shared" si="174"/>
        <v>1.1825802166488628E-12</v>
      </c>
      <c r="CX164" s="59">
        <f t="shared" si="122"/>
        <v>293.33333333333451</v>
      </c>
      <c r="CY164" s="59">
        <f ca="1">AVERAGE(OFFSET($CX$3,0,0,'Données projet'!$E$13+1,1))-AVERAGE(OFFSET($H$3,0,0,'Données projet'!$E$13+1,1))</f>
        <v>156.63226020379989</v>
      </c>
      <c r="CZ164" s="59">
        <f t="shared" si="150"/>
        <v>196.0481096619543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0.22941401425990912</v>
      </c>
      <c r="DH164" s="21">
        <f>EXP(-LN(2)/2)*DH163+(1-EXP(-LN(2)/2))/(LN(2)/2)*DB164*DE164*VLOOKUP('Données projet'!$B$13,Paramètres!$A$1:$I$89,3,0)*0.475*44/12</f>
        <v>1.7390366309212378E-19</v>
      </c>
      <c r="DI164" s="22">
        <f t="shared" si="175"/>
        <v>0.22941401425990912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-8.5265128291212022E-14</v>
      </c>
      <c r="DP164" s="17">
        <f>DO164*VLOOKUP('Données projet'!$B$14,Paramètres!$A$1:$I$89,3,0)*VLOOKUP('Données projet'!$B$14,Paramètres!$A$1:$I$89,5,0)</f>
        <v>-7.7147888077888636E-14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225.28075317732998</v>
      </c>
      <c r="DU164" s="59">
        <f t="shared" si="152"/>
        <v>358.43407531256207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0.16757856483084754</v>
      </c>
      <c r="EB164" s="21">
        <f>EXP(-LN(2)/25)*EB163+(1-EXP(-LN(2)/25))/(LN(2)/25)*Calculateur!DW164*Calculateur!DY164*VLOOKUP('Données projet'!$B$14,Paramètres!$A$1:$I$89,3,0)*0.475*44/12</f>
        <v>0.21888516304496808</v>
      </c>
      <c r="EC164" s="21">
        <f>EXP(-LN(2)/2)*EC163+(1-EXP(-LN(2)/2))/(LN(2)/2)*DW164*DZ164*VLOOKUP('Données projet'!$B$14,Paramètres!$A$1:$I$89,3,0)*0.475*44/12</f>
        <v>8.4599868958552216E-20</v>
      </c>
      <c r="ED164" s="22">
        <f t="shared" si="178"/>
        <v>0.38646372787581562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-5.6843418860808015E-13</v>
      </c>
      <c r="EK164" s="17">
        <f>EJ164*VLOOKUP('Données projet'!$B$15,Paramètres!$A$1:$I$89,3,0)*VLOOKUP('Données projet'!$B$15,Paramètres!$A$1:$I$89,5,0)</f>
        <v>-3.177547114319168E-13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326.31232746914907</v>
      </c>
      <c r="EP164" s="59">
        <f t="shared" si="154"/>
        <v>330.17137761430297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0.34119967357227488</v>
      </c>
      <c r="EW164" s="21">
        <f>EXP(-LN(2)/25)*EW163+(1-EXP(-LN(2)/25))/(LN(2)/25)*Calculateur!ER164*Calculateur!ET164*VLOOKUP('Données projet'!$B$15,Paramètres!$A$1:$I$89,3,0)*0.475*44/12</f>
        <v>0.79840007832936399</v>
      </c>
      <c r="EX164" s="21">
        <f>EXP(-LN(2)/2)*EX163+(1-EXP(-LN(2)/2))/(LN(2)/2)*ER164*EU164*VLOOKUP('Données projet'!$B$15,Paramètres!$A$1:$I$89,3,0)*0.475*44/12</f>
        <v>6.2332379993979096E-19</v>
      </c>
      <c r="EY164" s="22">
        <f t="shared" si="181"/>
        <v>1.1395997519016388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255.41017495879987</v>
      </c>
      <c r="FK164" s="59">
        <f t="shared" si="156"/>
        <v>297.50513563712764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0.62324845236034954</v>
      </c>
      <c r="FR164" s="21">
        <f>EXP(-LN(2)/25)*FR163+(1-EXP(-LN(2)/25))/(LN(2)/25)*Calculateur!FM164*Calculateur!FO164*VLOOKUP('Données projet'!$B$16,Paramètres!$A$1:$I$89,3,0)*0.475*44/12</f>
        <v>0.73745874498397623</v>
      </c>
      <c r="FS164" s="21">
        <f>EXP(-LN(2)/2)*FS163+(1-EXP(-LN(2)/2))/(LN(2)/2)*FM164*FP164*VLOOKUP('Données projet'!$B$16,Paramètres!$A$1:$I$89,3,0)*0.475*44/12</f>
        <v>4.6767732161824601E-19</v>
      </c>
      <c r="FT164" s="22">
        <f t="shared" si="184"/>
        <v>1.3607071973443259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1.1368683772161603E-13</v>
      </c>
      <c r="GA164" s="17">
        <f>FZ164*VLOOKUP('Données projet'!$B$17,Paramètres!$A$1:$I$89,3,0)*VLOOKUP('Données projet'!$B$17,Paramètres!$A$1:$I$89,5,0)</f>
        <v>6.7984728957526396E-14</v>
      </c>
      <c r="GB164" s="13">
        <f t="shared" si="185"/>
        <v>1.0682447123141398E-12</v>
      </c>
      <c r="GC164" s="20">
        <f t="shared" si="186"/>
        <v>1.978932943548152E-12</v>
      </c>
      <c r="GD164" s="59">
        <f t="shared" si="134"/>
        <v>293.3333333333353</v>
      </c>
      <c r="GE164" s="59">
        <f ca="1">AVERAGE(OFFSET($GD$3,0,0,'Données projet'!$E$17+1,1))-AVERAGE(OFFSET($H$3,0,0,'Données projet'!$E$17+1,1))</f>
        <v>259.30247982593914</v>
      </c>
      <c r="GF164" s="59">
        <f t="shared" si="158"/>
        <v>275.24740346220779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</v>
      </c>
      <c r="GM164" s="21">
        <f>EXP(-LN(2)/25)*GM163+(1-EXP(-LN(2)/25))/(LN(2)/25)*Calculateur!GH164*Calculateur!GJ164*VLOOKUP('Données projet'!$B$17,Paramètres!$A$1:$I$89,3,0)*0.475*44/12</f>
        <v>0.47716778914426766</v>
      </c>
      <c r="GN164" s="21">
        <f>EXP(-LN(2)/2)*GN163+(1-EXP(-LN(2)/2))/(LN(2)/2)*GH164*GK164*VLOOKUP('Données projet'!$B$17,Paramètres!$A$1:$I$89,3,0)*0.475*44/12</f>
        <v>5.496947014654684E-19</v>
      </c>
      <c r="GO164" s="21">
        <f t="shared" si="187"/>
        <v>0.47716778914426766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5.6843418860808015E-14</v>
      </c>
      <c r="GV164" s="17">
        <f>GU164*VLOOKUP('Données projet'!$B$18,Paramètres!$A$1:$I$89,3,0)*VLOOKUP('Données projet'!$B$18,Paramètres!$A$1:$I$89,5,0)</f>
        <v>4.5224624045658861E-14</v>
      </c>
      <c r="GW164" s="13">
        <f t="shared" si="188"/>
        <v>7.4514601661523691E-13</v>
      </c>
      <c r="GX164" s="20">
        <f t="shared" si="189"/>
        <v>1.3765621991510601E-12</v>
      </c>
      <c r="GY164" s="59">
        <f t="shared" si="137"/>
        <v>293.33333333333468</v>
      </c>
      <c r="GZ164" s="59">
        <f ca="1">AVERAGE(OFFSET($GY$3,0,0,'Données projet'!$E$18+1,1))-AVERAGE(OFFSET($H$3,0,0,'Données projet'!$E$18+1,1))</f>
        <v>199.58763537752952</v>
      </c>
      <c r="HA164" s="59">
        <f t="shared" si="160"/>
        <v>242.62852778451929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0</v>
      </c>
      <c r="HH164" s="21">
        <f>EXP(-LN(2)/25)*HH163+(1-EXP(-LN(2)/25))/(LN(2)/25)*Calculateur!HC164*Calculateur!HE164*VLOOKUP('Données projet'!$B$18,Paramètres!$A$1:$I$89,3,0)*0.475*44/12</f>
        <v>0.27209569133151978</v>
      </c>
      <c r="HI164" s="21">
        <f>EXP(-LN(2)/2)*HI163+(1-EXP(-LN(2)/2))/(LN(2)/2)*HC164*HF164*VLOOKUP('Données projet'!$B$18,Paramètres!$A$1:$I$89,3,0)*0.475*44/12</f>
        <v>2.0625783296972841E-19</v>
      </c>
      <c r="HJ164" s="22">
        <f t="shared" si="190"/>
        <v>0.27209569133151978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-1.0286385077051818E-13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237.22177246688199</v>
      </c>
      <c r="T165" s="59">
        <f t="shared" si="142"/>
        <v>149.27472147904302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7.9938211845348661E-2</v>
      </c>
      <c r="AB165" s="21">
        <f>EXP(-LN(2)/2)*AB164+(1-EXP(-LN(2)/2))/(LN(2)/2)*V165*Y165*VLOOKUP('Données projet'!$B$9,Paramètres!$A$1:$I$89,3,0)*0.475*44/12</f>
        <v>8.3881304875497456E-20</v>
      </c>
      <c r="AC165" s="22">
        <f t="shared" si="163"/>
        <v>7.9938211845348661E-2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-1.1527845344971866E-13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279.20364724206644</v>
      </c>
      <c r="AO165" s="59">
        <f t="shared" si="144"/>
        <v>173.99850582760712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8.9585927068063079E-2</v>
      </c>
      <c r="AW165" s="21">
        <f>EXP(-LN(2)/2)*AW164+(1-EXP(-LN(2)/2))/(LN(2)/2)*AQ165*AT165*VLOOKUP('Données projet'!$B$10,Paramètres!$A$1:$I$89,3,0)*0.475*44/12</f>
        <v>9.4004910636333341E-20</v>
      </c>
      <c r="AX165" s="21">
        <f t="shared" si="166"/>
        <v>8.9585927068063079E-2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-5.3205440053716299E-14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215.23235148064941</v>
      </c>
      <c r="BJ165" s="59">
        <f t="shared" si="146"/>
        <v>184.07239726900434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0.22954426870202693</v>
      </c>
      <c r="BQ165" s="21">
        <f>EXP(-LN(2)/25)*BQ164+(1-EXP(-LN(2)/25))/(LN(2)/25)*Calculateur!BL165*Calculateur!BN165*VLOOKUP('Données projet'!$B$11,Paramètres!$A$1:$I$89,3,0)*0.475*44/12</f>
        <v>0.20217780870045129</v>
      </c>
      <c r="BR165" s="21">
        <f>EXP(-LN(2)/2)*BR164+(1-EXP(-LN(2)/2))/(LN(2)/2)*BL165*BO165*VLOOKUP('Données projet'!$B$11,Paramètres!$A$1:$I$89,3,0)*0.475*44/12</f>
        <v>1.3325083875247244E-19</v>
      </c>
      <c r="BS165" s="22">
        <f t="shared" si="169"/>
        <v>0.43172207740247825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-1.223725121235475E-13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303.1504619632214</v>
      </c>
      <c r="CE165" s="59">
        <f t="shared" si="148"/>
        <v>188.09929616366503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9.5098907195328541E-2</v>
      </c>
      <c r="CM165" s="21">
        <f>EXP(-LN(2)/2)*CM164+(1-EXP(-LN(2)/2))/(LN(2)/2)*CG165*CJ165*VLOOKUP('Données projet'!$B$12,Paramètres!$A$1:$I$89,3,0)*0.475*44/12</f>
        <v>9.9789828213954043E-20</v>
      </c>
      <c r="CN165" s="22">
        <f t="shared" si="172"/>
        <v>9.5098907195328541E-2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5.6843418860808015E-14</v>
      </c>
      <c r="CU165" s="17">
        <f>CT165*VLOOKUP('Données projet'!$B$13,Paramètres!$A$1:$I$89,3,0)*VLOOKUP('Données projet'!$B$13,Paramètres!$A$1:$I$89,5,0)</f>
        <v>3.813056537183002E-14</v>
      </c>
      <c r="CV165" s="13">
        <f t="shared" si="173"/>
        <v>6.4086286045526829E-13</v>
      </c>
      <c r="CW165" s="20">
        <f t="shared" si="174"/>
        <v>1.1825802166488628E-12</v>
      </c>
      <c r="CX165" s="59">
        <f t="shared" si="122"/>
        <v>293.33333333333451</v>
      </c>
      <c r="CY165" s="59">
        <f ca="1">AVERAGE(OFFSET($CX$3,0,0,'Données projet'!$E$13+1,1))-AVERAGE(OFFSET($H$3,0,0,'Données projet'!$E$13+1,1))</f>
        <v>156.63226020379989</v>
      </c>
      <c r="CZ165" s="59">
        <f t="shared" si="150"/>
        <v>196.0481096619543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0.22314067597561324</v>
      </c>
      <c r="DH165" s="21">
        <f>EXP(-LN(2)/2)*DH164+(1-EXP(-LN(2)/2))/(LN(2)/2)*DB165*DE165*VLOOKUP('Données projet'!$B$13,Paramètres!$A$1:$I$89,3,0)*0.475*44/12</f>
        <v>1.2296845944562145E-19</v>
      </c>
      <c r="DI165" s="22">
        <f t="shared" si="175"/>
        <v>0.22314067597561324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-8.5265128291212022E-14</v>
      </c>
      <c r="DP165" s="17">
        <f>DO165*VLOOKUP('Données projet'!$B$14,Paramètres!$A$1:$I$89,3,0)*VLOOKUP('Données projet'!$B$14,Paramètres!$A$1:$I$89,5,0)</f>
        <v>-7.7147888077888636E-14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225.28075317732998</v>
      </c>
      <c r="DU165" s="59">
        <f t="shared" si="152"/>
        <v>358.43407531256207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0.16429245138734649</v>
      </c>
      <c r="EB165" s="21">
        <f>EXP(-LN(2)/25)*EB164+(1-EXP(-LN(2)/25))/(LN(2)/25)*Calculateur!DW165*Calculateur!DY165*VLOOKUP('Données projet'!$B$14,Paramètres!$A$1:$I$89,3,0)*0.475*44/12</f>
        <v>0.21289973675083296</v>
      </c>
      <c r="EC165" s="21">
        <f>EXP(-LN(2)/2)*EC164+(1-EXP(-LN(2)/2))/(LN(2)/2)*DW165*DZ165*VLOOKUP('Données projet'!$B$14,Paramètres!$A$1:$I$89,3,0)*0.475*44/12</f>
        <v>5.9821141028085576E-20</v>
      </c>
      <c r="ED165" s="22">
        <f t="shared" si="178"/>
        <v>0.37719218813817945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-5.6843418860808015E-13</v>
      </c>
      <c r="EK165" s="17">
        <f>EJ165*VLOOKUP('Données projet'!$B$15,Paramètres!$A$1:$I$89,3,0)*VLOOKUP('Données projet'!$B$15,Paramètres!$A$1:$I$89,5,0)</f>
        <v>-3.177547114319168E-13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326.31232746914907</v>
      </c>
      <c r="EP165" s="59">
        <f t="shared" si="154"/>
        <v>330.17137761430297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0.33450895608477416</v>
      </c>
      <c r="EW165" s="21">
        <f>EXP(-LN(2)/25)*EW164+(1-EXP(-LN(2)/25))/(LN(2)/25)*Calculateur!ER165*Calculateur!ET165*VLOOKUP('Données projet'!$B$15,Paramètres!$A$1:$I$89,3,0)*0.475*44/12</f>
        <v>0.7765677862014122</v>
      </c>
      <c r="EX165" s="21">
        <f>EXP(-LN(2)/2)*EX164+(1-EXP(-LN(2)/2))/(LN(2)/2)*ER165*EU165*VLOOKUP('Données projet'!$B$15,Paramètres!$A$1:$I$89,3,0)*0.475*44/12</f>
        <v>4.407564858123931E-19</v>
      </c>
      <c r="EY165" s="22">
        <f t="shared" si="181"/>
        <v>1.1110767422861865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255.41017495879987</v>
      </c>
      <c r="FK165" s="59">
        <f t="shared" si="156"/>
        <v>297.50513563712764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0.61102693035358291</v>
      </c>
      <c r="FR165" s="21">
        <f>EXP(-LN(2)/25)*FR164+(1-EXP(-LN(2)/25))/(LN(2)/25)*Calculateur!FM165*Calculateur!FO165*VLOOKUP('Données projet'!$B$16,Paramètres!$A$1:$I$89,3,0)*0.475*44/12</f>
        <v>0.71729289682111952</v>
      </c>
      <c r="FS165" s="21">
        <f>EXP(-LN(2)/2)*FS164+(1-EXP(-LN(2)/2))/(LN(2)/2)*FM165*FP165*VLOOKUP('Données projet'!$B$16,Paramètres!$A$1:$I$89,3,0)*0.475*44/12</f>
        <v>3.306978055234237E-19</v>
      </c>
      <c r="FT165" s="22">
        <f t="shared" si="184"/>
        <v>1.3283198271747025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1.1368683772161603E-13</v>
      </c>
      <c r="GA165" s="17">
        <f>FZ165*VLOOKUP('Données projet'!$B$17,Paramètres!$A$1:$I$89,3,0)*VLOOKUP('Données projet'!$B$17,Paramètres!$A$1:$I$89,5,0)</f>
        <v>6.7984728957526396E-14</v>
      </c>
      <c r="GB165" s="13">
        <f t="shared" si="185"/>
        <v>1.0682447123141398E-12</v>
      </c>
      <c r="GC165" s="20">
        <f t="shared" si="186"/>
        <v>1.978932943548152E-12</v>
      </c>
      <c r="GD165" s="59">
        <f t="shared" si="134"/>
        <v>293.3333333333353</v>
      </c>
      <c r="GE165" s="59">
        <f ca="1">AVERAGE(OFFSET($GD$3,0,0,'Données projet'!$E$17+1,1))-AVERAGE(OFFSET($H$3,0,0,'Données projet'!$E$17+1,1))</f>
        <v>259.30247982593914</v>
      </c>
      <c r="GF165" s="59">
        <f t="shared" si="158"/>
        <v>275.24740346220779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</v>
      </c>
      <c r="GM165" s="21">
        <f>EXP(-LN(2)/25)*GM164+(1-EXP(-LN(2)/25))/(LN(2)/25)*Calculateur!GH165*Calculateur!GJ165*VLOOKUP('Données projet'!$B$17,Paramètres!$A$1:$I$89,3,0)*0.475*44/12</f>
        <v>0.46411961085695419</v>
      </c>
      <c r="GN165" s="21">
        <f>EXP(-LN(2)/2)*GN164+(1-EXP(-LN(2)/2))/(LN(2)/2)*GH165*GK165*VLOOKUP('Données projet'!$B$17,Paramètres!$A$1:$I$89,3,0)*0.475*44/12</f>
        <v>3.8869285098854754E-19</v>
      </c>
      <c r="GO165" s="21">
        <f t="shared" si="187"/>
        <v>0.46411961085695419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5.6843418860808015E-14</v>
      </c>
      <c r="GV165" s="17">
        <f>GU165*VLOOKUP('Données projet'!$B$18,Paramètres!$A$1:$I$89,3,0)*VLOOKUP('Données projet'!$B$18,Paramètres!$A$1:$I$89,5,0)</f>
        <v>4.5224624045658861E-14</v>
      </c>
      <c r="GW165" s="13">
        <f t="shared" si="188"/>
        <v>7.4514601661523691E-13</v>
      </c>
      <c r="GX165" s="20">
        <f t="shared" si="189"/>
        <v>1.3765621991510601E-12</v>
      </c>
      <c r="GY165" s="59">
        <f t="shared" si="137"/>
        <v>293.33333333333468</v>
      </c>
      <c r="GZ165" s="59">
        <f ca="1">AVERAGE(OFFSET($GY$3,0,0,'Données projet'!$E$18+1,1))-AVERAGE(OFFSET($H$3,0,0,'Données projet'!$E$18+1,1))</f>
        <v>199.58763537752952</v>
      </c>
      <c r="HA165" s="59">
        <f t="shared" si="160"/>
        <v>242.62852778451929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0</v>
      </c>
      <c r="HH165" s="21">
        <f>EXP(-LN(2)/25)*HH164+(1-EXP(-LN(2)/25))/(LN(2)/25)*Calculateur!HC165*Calculateur!HE165*VLOOKUP('Données projet'!$B$18,Paramètres!$A$1:$I$89,3,0)*0.475*44/12</f>
        <v>0.26465522034316885</v>
      </c>
      <c r="HI165" s="21">
        <f>EXP(-LN(2)/2)*HI164+(1-EXP(-LN(2)/2))/(LN(2)/2)*HC165*HF165*VLOOKUP('Données projet'!$B$18,Paramètres!$A$1:$I$89,3,0)*0.475*44/12</f>
        <v>1.4584631236573721E-19</v>
      </c>
      <c r="HJ165" s="22">
        <f t="shared" si="190"/>
        <v>0.26465522034316885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-1.0286385077051818E-13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237.22177246688199</v>
      </c>
      <c r="T166" s="59">
        <f t="shared" si="142"/>
        <v>149.27472147904302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7.7752297238669749E-2</v>
      </c>
      <c r="AB166" s="21">
        <f>EXP(-LN(2)/2)*AB165+(1-EXP(-LN(2)/2))/(LN(2)/2)*V166*Y166*VLOOKUP('Données projet'!$B$9,Paramètres!$A$1:$I$89,3,0)*0.475*44/12</f>
        <v>5.9313039492240461E-20</v>
      </c>
      <c r="AC166" s="22">
        <f t="shared" si="163"/>
        <v>7.7752297238669749E-2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-1.1527845344971866E-13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279.20364724206644</v>
      </c>
      <c r="AO166" s="59">
        <f t="shared" si="144"/>
        <v>173.99850582760712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8.7136195181267737E-2</v>
      </c>
      <c r="AW166" s="21">
        <f>EXP(-LN(2)/2)*AW165+(1-EXP(-LN(2)/2))/(LN(2)/2)*AQ166*AT166*VLOOKUP('Données projet'!$B$10,Paramètres!$A$1:$I$89,3,0)*0.475*44/12</f>
        <v>6.6471509775786714E-20</v>
      </c>
      <c r="AX166" s="21">
        <f t="shared" si="166"/>
        <v>8.7136195181267737E-2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-5.3205440053716299E-14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215.23235148064941</v>
      </c>
      <c r="BJ166" s="59">
        <f t="shared" si="146"/>
        <v>184.07239726900434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0.22504304560095945</v>
      </c>
      <c r="BQ166" s="21">
        <f>EXP(-LN(2)/25)*BQ165+(1-EXP(-LN(2)/25))/(LN(2)/25)*Calculateur!BL166*Calculateur!BN166*VLOOKUP('Données projet'!$B$11,Paramètres!$A$1:$I$89,3,0)*0.475*44/12</f>
        <v>0.19664924588946858</v>
      </c>
      <c r="BR166" s="21">
        <f>EXP(-LN(2)/2)*BR165+(1-EXP(-LN(2)/2))/(LN(2)/2)*BL166*BO166*VLOOKUP('Données projet'!$B$11,Paramètres!$A$1:$I$89,3,0)*0.475*44/12</f>
        <v>9.4222571680668456E-20</v>
      </c>
      <c r="BS166" s="22">
        <f t="shared" si="169"/>
        <v>0.42169229149042803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-1.223725121235475E-13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303.1504619632214</v>
      </c>
      <c r="CE166" s="59">
        <f t="shared" si="148"/>
        <v>188.09929616366503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9.2498422577038109E-2</v>
      </c>
      <c r="CM166" s="21">
        <f>EXP(-LN(2)/2)*CM165+(1-EXP(-LN(2)/2))/(LN(2)/2)*CG166*CJ166*VLOOKUP('Données projet'!$B$12,Paramètres!$A$1:$I$89,3,0)*0.475*44/12</f>
        <v>7.0562064223527567E-20</v>
      </c>
      <c r="CN166" s="22">
        <f t="shared" si="172"/>
        <v>9.2498422577038109E-2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5.6843418860808015E-14</v>
      </c>
      <c r="CU166" s="17">
        <f>CT166*VLOOKUP('Données projet'!$B$13,Paramètres!$A$1:$I$89,3,0)*VLOOKUP('Données projet'!$B$13,Paramètres!$A$1:$I$89,5,0)</f>
        <v>3.813056537183002E-14</v>
      </c>
      <c r="CV166" s="13">
        <f t="shared" si="173"/>
        <v>6.4086286045526829E-13</v>
      </c>
      <c r="CW166" s="20">
        <f t="shared" si="174"/>
        <v>1.1825802166488628E-12</v>
      </c>
      <c r="CX166" s="59">
        <f t="shared" si="122"/>
        <v>293.33333333333451</v>
      </c>
      <c r="CY166" s="59">
        <f ca="1">AVERAGE(OFFSET($CX$3,0,0,'Données projet'!$E$13+1,1))-AVERAGE(OFFSET($H$3,0,0,'Données projet'!$E$13+1,1))</f>
        <v>156.63226020379989</v>
      </c>
      <c r="CZ166" s="59">
        <f t="shared" si="150"/>
        <v>196.0481096619543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0.21703888245660194</v>
      </c>
      <c r="DH166" s="21">
        <f>EXP(-LN(2)/2)*DH165+(1-EXP(-LN(2)/2))/(LN(2)/2)*DB166*DE166*VLOOKUP('Données projet'!$B$13,Paramètres!$A$1:$I$89,3,0)*0.475*44/12</f>
        <v>8.6951831546061892E-20</v>
      </c>
      <c r="DI166" s="22">
        <f t="shared" si="175"/>
        <v>0.21703888245660194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-8.5265128291212022E-14</v>
      </c>
      <c r="DP166" s="17">
        <f>DO166*VLOOKUP('Données projet'!$B$14,Paramètres!$A$1:$I$89,3,0)*VLOOKUP('Données projet'!$B$14,Paramètres!$A$1:$I$89,5,0)</f>
        <v>-7.7147888077888636E-14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225.28075317732998</v>
      </c>
      <c r="DU166" s="59">
        <f t="shared" si="152"/>
        <v>358.43407531256207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0.16107077662414121</v>
      </c>
      <c r="EB166" s="21">
        <f>EXP(-LN(2)/25)*EB165+(1-EXP(-LN(2)/25))/(LN(2)/25)*Calculateur!DW166*Calculateur!DY166*VLOOKUP('Données projet'!$B$14,Paramètres!$A$1:$I$89,3,0)*0.475*44/12</f>
        <v>0.20707798225347088</v>
      </c>
      <c r="EC166" s="21">
        <f>EXP(-LN(2)/2)*EC165+(1-EXP(-LN(2)/2))/(LN(2)/2)*DW166*DZ166*VLOOKUP('Données projet'!$B$14,Paramètres!$A$1:$I$89,3,0)*0.475*44/12</f>
        <v>4.2299934479276108E-20</v>
      </c>
      <c r="ED166" s="22">
        <f t="shared" si="178"/>
        <v>0.36814875887761211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-5.6843418860808015E-13</v>
      </c>
      <c r="EK166" s="17">
        <f>EJ166*VLOOKUP('Données projet'!$B$15,Paramètres!$A$1:$I$89,3,0)*VLOOKUP('Données projet'!$B$15,Paramètres!$A$1:$I$89,5,0)</f>
        <v>-3.177547114319168E-13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326.31232746914907</v>
      </c>
      <c r="EP166" s="59">
        <f t="shared" si="154"/>
        <v>330.17137761430297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0.32794943948626865</v>
      </c>
      <c r="EW166" s="21">
        <f>EXP(-LN(2)/25)*EW165+(1-EXP(-LN(2)/25))/(LN(2)/25)*Calculateur!ER166*Calculateur!ET166*VLOOKUP('Données projet'!$B$15,Paramètres!$A$1:$I$89,3,0)*0.475*44/12</f>
        <v>0.75533249924980961</v>
      </c>
      <c r="EX166" s="21">
        <f>EXP(-LN(2)/2)*EX165+(1-EXP(-LN(2)/2))/(LN(2)/2)*ER166*EU166*VLOOKUP('Données projet'!$B$15,Paramètres!$A$1:$I$89,3,0)*0.475*44/12</f>
        <v>3.1166189996989548E-19</v>
      </c>
      <c r="EY166" s="22">
        <f t="shared" si="181"/>
        <v>1.0832819387360781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255.41017495879987</v>
      </c>
      <c r="FK166" s="59">
        <f t="shared" si="156"/>
        <v>297.50513563712764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0.59904506493897658</v>
      </c>
      <c r="FR166" s="21">
        <f>EXP(-LN(2)/25)*FR165+(1-EXP(-LN(2)/25))/(LN(2)/25)*Calculateur!FM166*Calculateur!FO166*VLOOKUP('Données projet'!$B$16,Paramètres!$A$1:$I$89,3,0)*0.475*44/12</f>
        <v>0.69767848483675199</v>
      </c>
      <c r="FS166" s="21">
        <f>EXP(-LN(2)/2)*FS165+(1-EXP(-LN(2)/2))/(LN(2)/2)*FM166*FP166*VLOOKUP('Données projet'!$B$16,Paramètres!$A$1:$I$89,3,0)*0.475*44/12</f>
        <v>2.3383866080912301E-19</v>
      </c>
      <c r="FT166" s="22">
        <f t="shared" si="184"/>
        <v>1.2967235497757286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1.1368683772161603E-13</v>
      </c>
      <c r="GA166" s="17">
        <f>FZ166*VLOOKUP('Données projet'!$B$17,Paramètres!$A$1:$I$89,3,0)*VLOOKUP('Données projet'!$B$17,Paramètres!$A$1:$I$89,5,0)</f>
        <v>6.7984728957526396E-14</v>
      </c>
      <c r="GB166" s="13">
        <f t="shared" si="185"/>
        <v>1.0682447123141398E-12</v>
      </c>
      <c r="GC166" s="20">
        <f t="shared" si="186"/>
        <v>1.978932943548152E-12</v>
      </c>
      <c r="GD166" s="59">
        <f t="shared" si="134"/>
        <v>293.3333333333353</v>
      </c>
      <c r="GE166" s="59">
        <f ca="1">AVERAGE(OFFSET($GD$3,0,0,'Données projet'!$E$17+1,1))-AVERAGE(OFFSET($H$3,0,0,'Données projet'!$E$17+1,1))</f>
        <v>259.30247982593914</v>
      </c>
      <c r="GF166" s="59">
        <f t="shared" si="158"/>
        <v>275.24740346220779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</v>
      </c>
      <c r="GM166" s="21">
        <f>EXP(-LN(2)/25)*GM165+(1-EXP(-LN(2)/25))/(LN(2)/25)*Calculateur!GH166*Calculateur!GJ166*VLOOKUP('Données projet'!$B$17,Paramètres!$A$1:$I$89,3,0)*0.475*44/12</f>
        <v>0.4514282356910812</v>
      </c>
      <c r="GN166" s="21">
        <f>EXP(-LN(2)/2)*GN165+(1-EXP(-LN(2)/2))/(LN(2)/2)*GH166*GK166*VLOOKUP('Données projet'!$B$17,Paramètres!$A$1:$I$89,3,0)*0.475*44/12</f>
        <v>2.748473507327342E-19</v>
      </c>
      <c r="GO166" s="21">
        <f t="shared" si="187"/>
        <v>0.4514282356910812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5.6843418860808015E-14</v>
      </c>
      <c r="GV166" s="17">
        <f>GU166*VLOOKUP('Données projet'!$B$18,Paramètres!$A$1:$I$89,3,0)*VLOOKUP('Données projet'!$B$18,Paramètres!$A$1:$I$89,5,0)</f>
        <v>4.5224624045658861E-14</v>
      </c>
      <c r="GW166" s="13">
        <f t="shared" si="188"/>
        <v>7.4514601661523691E-13</v>
      </c>
      <c r="GX166" s="20">
        <f t="shared" si="189"/>
        <v>1.3765621991510601E-12</v>
      </c>
      <c r="GY166" s="59">
        <f t="shared" si="137"/>
        <v>293.33333333333468</v>
      </c>
      <c r="GZ166" s="59">
        <f ca="1">AVERAGE(OFFSET($GY$3,0,0,'Données projet'!$E$18+1,1))-AVERAGE(OFFSET($H$3,0,0,'Données projet'!$E$18+1,1))</f>
        <v>199.58763537752952</v>
      </c>
      <c r="HA166" s="59">
        <f t="shared" si="160"/>
        <v>242.62852778451929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0</v>
      </c>
      <c r="HH166" s="21">
        <f>EXP(-LN(2)/25)*HH165+(1-EXP(-LN(2)/25))/(LN(2)/25)*Calculateur!HC166*Calculateur!HE166*VLOOKUP('Données projet'!$B$18,Paramètres!$A$1:$I$89,3,0)*0.475*44/12</f>
        <v>0.25741820942527172</v>
      </c>
      <c r="HI166" s="21">
        <f>EXP(-LN(2)/2)*HI165+(1-EXP(-LN(2)/2))/(LN(2)/2)*HC166*HF166*VLOOKUP('Données projet'!$B$18,Paramètres!$A$1:$I$89,3,0)*0.475*44/12</f>
        <v>1.031289164848642E-19</v>
      </c>
      <c r="HJ166" s="22">
        <f t="shared" si="190"/>
        <v>0.25741820942527172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-1.0286385077051818E-13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237.22177246688199</v>
      </c>
      <c r="T167" s="59">
        <f t="shared" si="142"/>
        <v>149.27472147904302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7.5626156581862725E-2</v>
      </c>
      <c r="AB167" s="21">
        <f>EXP(-LN(2)/2)*AB166+(1-EXP(-LN(2)/2))/(LN(2)/2)*V167*Y167*VLOOKUP('Données projet'!$B$9,Paramètres!$A$1:$I$89,3,0)*0.475*44/12</f>
        <v>4.1940652437748728E-20</v>
      </c>
      <c r="AC167" s="22">
        <f t="shared" si="163"/>
        <v>7.5626156581862725E-2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-1.1527845344971866E-13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279.20364724206644</v>
      </c>
      <c r="AO167" s="59">
        <f t="shared" si="144"/>
        <v>173.99850582760712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8.4753451341742614E-2</v>
      </c>
      <c r="AW167" s="21">
        <f>EXP(-LN(2)/2)*AW166+(1-EXP(-LN(2)/2))/(LN(2)/2)*AQ167*AT167*VLOOKUP('Données projet'!$B$10,Paramètres!$A$1:$I$89,3,0)*0.475*44/12</f>
        <v>4.7002455318166671E-20</v>
      </c>
      <c r="AX167" s="21">
        <f t="shared" si="166"/>
        <v>8.4753451341742614E-2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-5.3205440053716299E-14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215.23235148064941</v>
      </c>
      <c r="BJ167" s="59">
        <f t="shared" si="146"/>
        <v>184.07239726900434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0.22063008873942888</v>
      </c>
      <c r="BQ167" s="21">
        <f>EXP(-LN(2)/25)*BQ166+(1-EXP(-LN(2)/25))/(LN(2)/25)*Calculateur!BL167*Calculateur!BN167*VLOOKUP('Données projet'!$B$11,Paramètres!$A$1:$I$89,3,0)*0.475*44/12</f>
        <v>0.19127186191928666</v>
      </c>
      <c r="BR167" s="21">
        <f>EXP(-LN(2)/2)*BR166+(1-EXP(-LN(2)/2))/(LN(2)/2)*BL167*BO167*VLOOKUP('Données projet'!$B$11,Paramètres!$A$1:$I$89,3,0)*0.475*44/12</f>
        <v>6.6625419376236218E-20</v>
      </c>
      <c r="BS167" s="22">
        <f t="shared" si="169"/>
        <v>0.41190195065871554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-1.223725121235475E-13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303.1504619632214</v>
      </c>
      <c r="CE167" s="59">
        <f t="shared" si="148"/>
        <v>188.09929616366503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8.9969048347388364E-2</v>
      </c>
      <c r="CM167" s="21">
        <f>EXP(-LN(2)/2)*CM166+(1-EXP(-LN(2)/2))/(LN(2)/2)*CG167*CJ167*VLOOKUP('Données projet'!$B$12,Paramètres!$A$1:$I$89,3,0)*0.475*44/12</f>
        <v>4.9894914106977022E-20</v>
      </c>
      <c r="CN167" s="22">
        <f t="shared" si="172"/>
        <v>8.9969048347388364E-2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5.6843418860808015E-14</v>
      </c>
      <c r="CU167" s="17">
        <f>CT167*VLOOKUP('Données projet'!$B$13,Paramètres!$A$1:$I$89,3,0)*VLOOKUP('Données projet'!$B$13,Paramètres!$A$1:$I$89,5,0)</f>
        <v>3.813056537183002E-14</v>
      </c>
      <c r="CV167" s="13">
        <f t="shared" si="173"/>
        <v>6.4086286045526829E-13</v>
      </c>
      <c r="CW167" s="20">
        <f t="shared" si="174"/>
        <v>1.1825802166488628E-12</v>
      </c>
      <c r="CX167" s="59">
        <f t="shared" si="122"/>
        <v>293.33333333333451</v>
      </c>
      <c r="CY167" s="59">
        <f ca="1">AVERAGE(OFFSET($CX$3,0,0,'Données projet'!$E$13+1,1))-AVERAGE(OFFSET($H$3,0,0,'Données projet'!$E$13+1,1))</f>
        <v>156.63226020379989</v>
      </c>
      <c r="CZ167" s="59">
        <f t="shared" si="150"/>
        <v>196.0481096619543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0.21110394280224737</v>
      </c>
      <c r="DH167" s="21">
        <f>EXP(-LN(2)/2)*DH166+(1-EXP(-LN(2)/2))/(LN(2)/2)*DB167*DE167*VLOOKUP('Données projet'!$B$13,Paramètres!$A$1:$I$89,3,0)*0.475*44/12</f>
        <v>6.1484229722810727E-20</v>
      </c>
      <c r="DI167" s="22">
        <f t="shared" si="175"/>
        <v>0.21110394280224737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-8.5265128291212022E-14</v>
      </c>
      <c r="DP167" s="17">
        <f>DO167*VLOOKUP('Données projet'!$B$14,Paramètres!$A$1:$I$89,3,0)*VLOOKUP('Données projet'!$B$14,Paramètres!$A$1:$I$89,5,0)</f>
        <v>-7.7147888077888636E-14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225.28075317732998</v>
      </c>
      <c r="DU167" s="59">
        <f t="shared" si="152"/>
        <v>358.43407531256207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0.1579122769380148</v>
      </c>
      <c r="EB167" s="21">
        <f>EXP(-LN(2)/25)*EB166+(1-EXP(-LN(2)/25))/(LN(2)/25)*Calculateur!DW167*Calculateur!DY167*VLOOKUP('Données projet'!$B$14,Paramètres!$A$1:$I$89,3,0)*0.475*44/12</f>
        <v>0.20141542393899192</v>
      </c>
      <c r="EC167" s="21">
        <f>EXP(-LN(2)/2)*EC166+(1-EXP(-LN(2)/2))/(LN(2)/2)*DW167*DZ167*VLOOKUP('Données projet'!$B$14,Paramètres!$A$1:$I$89,3,0)*0.475*44/12</f>
        <v>2.9910570514042788E-20</v>
      </c>
      <c r="ED167" s="22">
        <f t="shared" si="178"/>
        <v>0.35932770087700672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-5.6843418860808015E-13</v>
      </c>
      <c r="EK167" s="17">
        <f>EJ167*VLOOKUP('Données projet'!$B$15,Paramètres!$A$1:$I$89,3,0)*VLOOKUP('Données projet'!$B$15,Paramètres!$A$1:$I$89,5,0)</f>
        <v>-3.177547114319168E-13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326.31232746914907</v>
      </c>
      <c r="EP167" s="59">
        <f t="shared" si="154"/>
        <v>330.17137761430297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0.32151855100734972</v>
      </c>
      <c r="EW167" s="21">
        <f>EXP(-LN(2)/25)*EW166+(1-EXP(-LN(2)/25))/(LN(2)/25)*Calculateur!ER167*Calculateur!ET167*VLOOKUP('Données projet'!$B$15,Paramètres!$A$1:$I$89,3,0)*0.475*44/12</f>
        <v>0.73467789233661374</v>
      </c>
      <c r="EX167" s="21">
        <f>EXP(-LN(2)/2)*EX166+(1-EXP(-LN(2)/2))/(LN(2)/2)*ER167*EU167*VLOOKUP('Données projet'!$B$15,Paramètres!$A$1:$I$89,3,0)*0.475*44/12</f>
        <v>2.2037824290619655E-19</v>
      </c>
      <c r="EY167" s="22">
        <f t="shared" si="181"/>
        <v>1.0561964433439635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255.41017495879987</v>
      </c>
      <c r="FK167" s="59">
        <f t="shared" si="156"/>
        <v>297.50513563712764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0.58729815659693441</v>
      </c>
      <c r="FR167" s="21">
        <f>EXP(-LN(2)/25)*FR166+(1-EXP(-LN(2)/25))/(LN(2)/25)*Calculateur!FM167*Calculateur!FO167*VLOOKUP('Données projet'!$B$16,Paramètres!$A$1:$I$89,3,0)*0.475*44/12</f>
        <v>0.67860042997957404</v>
      </c>
      <c r="FS167" s="21">
        <f>EXP(-LN(2)/2)*FS166+(1-EXP(-LN(2)/2))/(LN(2)/2)*FM167*FP167*VLOOKUP('Données projet'!$B$16,Paramètres!$A$1:$I$89,3,0)*0.475*44/12</f>
        <v>1.6534890276171185E-19</v>
      </c>
      <c r="FT167" s="22">
        <f t="shared" si="184"/>
        <v>1.2658985865765084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1.1368683772161603E-13</v>
      </c>
      <c r="GA167" s="17">
        <f>FZ167*VLOOKUP('Données projet'!$B$17,Paramètres!$A$1:$I$89,3,0)*VLOOKUP('Données projet'!$B$17,Paramètres!$A$1:$I$89,5,0)</f>
        <v>6.7984728957526396E-14</v>
      </c>
      <c r="GB167" s="13">
        <f t="shared" si="185"/>
        <v>1.0682447123141398E-12</v>
      </c>
      <c r="GC167" s="20">
        <f t="shared" si="186"/>
        <v>1.978932943548152E-12</v>
      </c>
      <c r="GD167" s="59">
        <f t="shared" si="134"/>
        <v>293.3333333333353</v>
      </c>
      <c r="GE167" s="59">
        <f ca="1">AVERAGE(OFFSET($GD$3,0,0,'Données projet'!$E$17+1,1))-AVERAGE(OFFSET($H$3,0,0,'Données projet'!$E$17+1,1))</f>
        <v>259.30247982593914</v>
      </c>
      <c r="GF167" s="59">
        <f t="shared" si="158"/>
        <v>275.24740346220779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</v>
      </c>
      <c r="GM167" s="21">
        <f>EXP(-LN(2)/25)*GM166+(1-EXP(-LN(2)/25))/(LN(2)/25)*Calculateur!GH167*Calculateur!GJ167*VLOOKUP('Données projet'!$B$17,Paramètres!$A$1:$I$89,3,0)*0.475*44/12</f>
        <v>0.43908390684652943</v>
      </c>
      <c r="GN167" s="21">
        <f>EXP(-LN(2)/2)*GN166+(1-EXP(-LN(2)/2))/(LN(2)/2)*GH167*GK167*VLOOKUP('Données projet'!$B$17,Paramètres!$A$1:$I$89,3,0)*0.475*44/12</f>
        <v>1.9434642549427377E-19</v>
      </c>
      <c r="GO167" s="21">
        <f t="shared" si="187"/>
        <v>0.43908390684652943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5.6843418860808015E-14</v>
      </c>
      <c r="GV167" s="17">
        <f>GU167*VLOOKUP('Données projet'!$B$18,Paramètres!$A$1:$I$89,3,0)*VLOOKUP('Données projet'!$B$18,Paramètres!$A$1:$I$89,5,0)</f>
        <v>4.5224624045658861E-14</v>
      </c>
      <c r="GW167" s="13">
        <f t="shared" si="188"/>
        <v>7.4514601661523691E-13</v>
      </c>
      <c r="GX167" s="20">
        <f t="shared" si="189"/>
        <v>1.3765621991510601E-12</v>
      </c>
      <c r="GY167" s="59">
        <f t="shared" si="137"/>
        <v>293.33333333333468</v>
      </c>
      <c r="GZ167" s="59">
        <f ca="1">AVERAGE(OFFSET($GY$3,0,0,'Données projet'!$E$18+1,1))-AVERAGE(OFFSET($H$3,0,0,'Données projet'!$E$18+1,1))</f>
        <v>199.58763537752952</v>
      </c>
      <c r="HA167" s="59">
        <f t="shared" si="160"/>
        <v>242.62852778451929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0</v>
      </c>
      <c r="HH167" s="21">
        <f>EXP(-LN(2)/25)*HH166+(1-EXP(-LN(2)/25))/(LN(2)/25)*Calculateur!HC167*Calculateur!HE167*VLOOKUP('Données projet'!$B$18,Paramètres!$A$1:$I$89,3,0)*0.475*44/12</f>
        <v>0.25037909495150235</v>
      </c>
      <c r="HI167" s="21">
        <f>EXP(-LN(2)/2)*HI166+(1-EXP(-LN(2)/2))/(LN(2)/2)*HC167*HF167*VLOOKUP('Données projet'!$B$18,Paramètres!$A$1:$I$89,3,0)*0.475*44/12</f>
        <v>7.2923156182868605E-20</v>
      </c>
      <c r="HJ167" s="22">
        <f t="shared" si="190"/>
        <v>0.25037909495150235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-1.0286385077051818E-13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237.22177246688199</v>
      </c>
      <c r="T168" s="59">
        <f t="shared" si="142"/>
        <v>149.27472147904302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7.355815535312496E-2</v>
      </c>
      <c r="AB168" s="21">
        <f>EXP(-LN(2)/2)*AB167+(1-EXP(-LN(2)/2))/(LN(2)/2)*V168*Y168*VLOOKUP('Données projet'!$B$9,Paramètres!$A$1:$I$89,3,0)*0.475*44/12</f>
        <v>2.965651974612023E-20</v>
      </c>
      <c r="AC168" s="22">
        <f t="shared" si="163"/>
        <v>7.355815535312496E-2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-1.1527845344971866E-13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279.20364724206644</v>
      </c>
      <c r="AO168" s="59">
        <f t="shared" si="144"/>
        <v>173.99850582760712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8.2435863757812367E-2</v>
      </c>
      <c r="AW168" s="21">
        <f>EXP(-LN(2)/2)*AW167+(1-EXP(-LN(2)/2))/(LN(2)/2)*AQ168*AT168*VLOOKUP('Données projet'!$B$10,Paramètres!$A$1:$I$89,3,0)*0.475*44/12</f>
        <v>3.3235754887893357E-20</v>
      </c>
      <c r="AX168" s="21">
        <f t="shared" si="166"/>
        <v>8.2435863757812367E-2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-5.3205440053716299E-14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215.23235148064941</v>
      </c>
      <c r="BJ168" s="59">
        <f t="shared" si="146"/>
        <v>184.07239726900434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0.21630366727031503</v>
      </c>
      <c r="BQ168" s="21">
        <f>EXP(-LN(2)/25)*BQ167+(1-EXP(-LN(2)/25))/(LN(2)/25)*Calculateur!BL168*Calculateur!BN168*VLOOKUP('Données projet'!$B$11,Paramètres!$A$1:$I$89,3,0)*0.475*44/12</f>
        <v>0.1860415227965537</v>
      </c>
      <c r="BR168" s="21">
        <f>EXP(-LN(2)/2)*BR167+(1-EXP(-LN(2)/2))/(LN(2)/2)*BL168*BO168*VLOOKUP('Données projet'!$B$11,Paramètres!$A$1:$I$89,3,0)*0.475*44/12</f>
        <v>4.7111285840334228E-20</v>
      </c>
      <c r="BS168" s="22">
        <f t="shared" si="169"/>
        <v>0.40234519006686875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-1.223725121235475E-13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303.1504619632214</v>
      </c>
      <c r="CE168" s="59">
        <f t="shared" si="148"/>
        <v>188.09929616366503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8.7508839989062406E-2</v>
      </c>
      <c r="CM168" s="21">
        <f>EXP(-LN(2)/2)*CM167+(1-EXP(-LN(2)/2))/(LN(2)/2)*CG168*CJ168*VLOOKUP('Données projet'!$B$12,Paramètres!$A$1:$I$89,3,0)*0.475*44/12</f>
        <v>3.5281032111763784E-20</v>
      </c>
      <c r="CN168" s="22">
        <f t="shared" si="172"/>
        <v>8.7508839989062406E-2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5.6843418860808015E-14</v>
      </c>
      <c r="CU168" s="17">
        <f>CT168*VLOOKUP('Données projet'!$B$13,Paramètres!$A$1:$I$89,3,0)*VLOOKUP('Données projet'!$B$13,Paramètres!$A$1:$I$89,5,0)</f>
        <v>3.813056537183002E-14</v>
      </c>
      <c r="CV168" s="13">
        <f t="shared" si="173"/>
        <v>6.4086286045526829E-13</v>
      </c>
      <c r="CW168" s="20">
        <f t="shared" si="174"/>
        <v>1.1825802166488628E-12</v>
      </c>
      <c r="CX168" s="59">
        <f t="shared" si="122"/>
        <v>293.33333333333451</v>
      </c>
      <c r="CY168" s="59">
        <f ca="1">AVERAGE(OFFSET($CX$3,0,0,'Données projet'!$E$13+1,1))-AVERAGE(OFFSET($H$3,0,0,'Données projet'!$E$13+1,1))</f>
        <v>156.63226020379989</v>
      </c>
      <c r="CZ168" s="59">
        <f t="shared" si="150"/>
        <v>196.0481096619543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0.20533129438484604</v>
      </c>
      <c r="DH168" s="21">
        <f>EXP(-LN(2)/2)*DH167+(1-EXP(-LN(2)/2))/(LN(2)/2)*DB168*DE168*VLOOKUP('Données projet'!$B$13,Paramètres!$A$1:$I$89,3,0)*0.475*44/12</f>
        <v>4.3475915773030946E-20</v>
      </c>
      <c r="DI168" s="22">
        <f t="shared" si="175"/>
        <v>0.20533129438484604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-8.5265128291212022E-14</v>
      </c>
      <c r="DP168" s="17">
        <f>DO168*VLOOKUP('Données projet'!$B$14,Paramètres!$A$1:$I$89,3,0)*VLOOKUP('Données projet'!$B$14,Paramètres!$A$1:$I$89,5,0)</f>
        <v>-7.7147888077888636E-14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225.28075317732998</v>
      </c>
      <c r="DU168" s="59">
        <f t="shared" si="152"/>
        <v>358.43407531256207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0.15481571350423876</v>
      </c>
      <c r="EB168" s="21">
        <f>EXP(-LN(2)/25)*EB167+(1-EXP(-LN(2)/25))/(LN(2)/25)*Calculateur!DW168*Calculateur!DY168*VLOOKUP('Données projet'!$B$14,Paramètres!$A$1:$I$89,3,0)*0.475*44/12</f>
        <v>0.19590770857940337</v>
      </c>
      <c r="EC168" s="21">
        <f>EXP(-LN(2)/2)*EC167+(1-EXP(-LN(2)/2))/(LN(2)/2)*DW168*DZ168*VLOOKUP('Données projet'!$B$14,Paramètres!$A$1:$I$89,3,0)*0.475*44/12</f>
        <v>2.1149967239638054E-20</v>
      </c>
      <c r="ED168" s="22">
        <f t="shared" si="178"/>
        <v>0.35072342208364216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-5.6843418860808015E-13</v>
      </c>
      <c r="EK168" s="17">
        <f>EJ168*VLOOKUP('Données projet'!$B$15,Paramètres!$A$1:$I$89,3,0)*VLOOKUP('Données projet'!$B$15,Paramètres!$A$1:$I$89,5,0)</f>
        <v>-3.177547114319168E-13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326.31232746914907</v>
      </c>
      <c r="EP168" s="59">
        <f t="shared" si="154"/>
        <v>330.17137761430297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0.31521376832904774</v>
      </c>
      <c r="EW168" s="21">
        <f>EXP(-LN(2)/25)*EW167+(1-EXP(-LN(2)/25))/(LN(2)/25)*Calculateur!ER168*Calculateur!ET168*VLOOKUP('Données projet'!$B$15,Paramètres!$A$1:$I$89,3,0)*0.475*44/12</f>
        <v>0.71458808673563778</v>
      </c>
      <c r="EX168" s="21">
        <f>EXP(-LN(2)/2)*EX167+(1-EXP(-LN(2)/2))/(LN(2)/2)*ER168*EU168*VLOOKUP('Données projet'!$B$15,Paramètres!$A$1:$I$89,3,0)*0.475*44/12</f>
        <v>1.5583094998494774E-19</v>
      </c>
      <c r="EY168" s="22">
        <f t="shared" si="181"/>
        <v>1.0298018550646855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255.41017495879987</v>
      </c>
      <c r="FK168" s="59">
        <f t="shared" si="156"/>
        <v>297.50513563712764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0.57578159796257311</v>
      </c>
      <c r="FR168" s="21">
        <f>EXP(-LN(2)/25)*FR167+(1-EXP(-LN(2)/25))/(LN(2)/25)*Calculateur!FM168*Calculateur!FO168*VLOOKUP('Données projet'!$B$16,Paramètres!$A$1:$I$89,3,0)*0.475*44/12</f>
        <v>0.66004406553573691</v>
      </c>
      <c r="FS168" s="21">
        <f>EXP(-LN(2)/2)*FS167+(1-EXP(-LN(2)/2))/(LN(2)/2)*FM168*FP168*VLOOKUP('Données projet'!$B$16,Paramètres!$A$1:$I$89,3,0)*0.475*44/12</f>
        <v>1.169193304045615E-19</v>
      </c>
      <c r="FT168" s="22">
        <f t="shared" si="184"/>
        <v>1.23582566349831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1.1368683772161603E-13</v>
      </c>
      <c r="GA168" s="17">
        <f>FZ168*VLOOKUP('Données projet'!$B$17,Paramètres!$A$1:$I$89,3,0)*VLOOKUP('Données projet'!$B$17,Paramètres!$A$1:$I$89,5,0)</f>
        <v>6.7984728957526396E-14</v>
      </c>
      <c r="GB168" s="13">
        <f t="shared" si="185"/>
        <v>1.0682447123141398E-12</v>
      </c>
      <c r="GC168" s="20">
        <f t="shared" si="186"/>
        <v>1.978932943548152E-12</v>
      </c>
      <c r="GD168" s="59">
        <f t="shared" si="134"/>
        <v>293.3333333333353</v>
      </c>
      <c r="GE168" s="59">
        <f ca="1">AVERAGE(OFFSET($GD$3,0,0,'Données projet'!$E$17+1,1))-AVERAGE(OFFSET($H$3,0,0,'Données projet'!$E$17+1,1))</f>
        <v>259.30247982593914</v>
      </c>
      <c r="GF168" s="59">
        <f t="shared" si="158"/>
        <v>275.24740346220779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</v>
      </c>
      <c r="GM168" s="21">
        <f>EXP(-LN(2)/25)*GM167+(1-EXP(-LN(2)/25))/(LN(2)/25)*Calculateur!GH168*Calculateur!GJ168*VLOOKUP('Données projet'!$B$17,Paramètres!$A$1:$I$89,3,0)*0.475*44/12</f>
        <v>0.42707713432339195</v>
      </c>
      <c r="GN168" s="21">
        <f>EXP(-LN(2)/2)*GN167+(1-EXP(-LN(2)/2))/(LN(2)/2)*GH168*GK168*VLOOKUP('Données projet'!$B$17,Paramètres!$A$1:$I$89,3,0)*0.475*44/12</f>
        <v>1.374236753663671E-19</v>
      </c>
      <c r="GO168" s="21">
        <f t="shared" si="187"/>
        <v>0.42707713432339195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5.6843418860808015E-14</v>
      </c>
      <c r="GV168" s="17">
        <f>GU168*VLOOKUP('Données projet'!$B$18,Paramètres!$A$1:$I$89,3,0)*VLOOKUP('Données projet'!$B$18,Paramètres!$A$1:$I$89,5,0)</f>
        <v>4.5224624045658861E-14</v>
      </c>
      <c r="GW168" s="13">
        <f t="shared" si="188"/>
        <v>7.4514601661523691E-13</v>
      </c>
      <c r="GX168" s="20">
        <f t="shared" si="189"/>
        <v>1.3765621991510601E-12</v>
      </c>
      <c r="GY168" s="59">
        <f t="shared" si="137"/>
        <v>293.33333333333468</v>
      </c>
      <c r="GZ168" s="59">
        <f ca="1">AVERAGE(OFFSET($GY$3,0,0,'Données projet'!$E$18+1,1))-AVERAGE(OFFSET($H$3,0,0,'Données projet'!$E$18+1,1))</f>
        <v>199.58763537752952</v>
      </c>
      <c r="HA168" s="59">
        <f t="shared" si="160"/>
        <v>242.62852778451929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0</v>
      </c>
      <c r="HH168" s="21">
        <f>EXP(-LN(2)/25)*HH167+(1-EXP(-LN(2)/25))/(LN(2)/25)*Calculateur!HC168*Calculateur!HE168*VLOOKUP('Données projet'!$B$18,Paramètres!$A$1:$I$89,3,0)*0.475*44/12</f>
        <v>0.24353246543318915</v>
      </c>
      <c r="HI168" s="21">
        <f>EXP(-LN(2)/2)*HI167+(1-EXP(-LN(2)/2))/(LN(2)/2)*HC168*HF168*VLOOKUP('Données projet'!$B$18,Paramètres!$A$1:$I$89,3,0)*0.475*44/12</f>
        <v>5.1564458242432102E-20</v>
      </c>
      <c r="HJ168" s="22">
        <f t="shared" si="190"/>
        <v>0.24353246543318915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-1.0286385077051818E-13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237.22177246688199</v>
      </c>
      <c r="T169" s="59">
        <f t="shared" si="142"/>
        <v>149.27472147904302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7.1546703726738492E-2</v>
      </c>
      <c r="AB169" s="21">
        <f>EXP(-LN(2)/2)*AB168+(1-EXP(-LN(2)/2))/(LN(2)/2)*V169*Y169*VLOOKUP('Données projet'!$B$9,Paramètres!$A$1:$I$89,3,0)*0.475*44/12</f>
        <v>2.0970326218874364E-20</v>
      </c>
      <c r="AC169" s="22">
        <f t="shared" si="163"/>
        <v>7.1546703726738492E-2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-1.1527845344971866E-13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279.20364724206644</v>
      </c>
      <c r="AO169" s="59">
        <f t="shared" si="144"/>
        <v>173.99850582760712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8.0181650728241322E-2</v>
      </c>
      <c r="AW169" s="21">
        <f>EXP(-LN(2)/2)*AW168+(1-EXP(-LN(2)/2))/(LN(2)/2)*AQ169*AT169*VLOOKUP('Données projet'!$B$10,Paramètres!$A$1:$I$89,3,0)*0.475*44/12</f>
        <v>2.3501227659083335E-20</v>
      </c>
      <c r="AX169" s="21">
        <f t="shared" si="166"/>
        <v>8.0181650728241322E-2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-5.3205440053716299E-14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215.23235148064941</v>
      </c>
      <c r="BJ169" s="59">
        <f t="shared" si="146"/>
        <v>184.07239726900434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0.21206208428735396</v>
      </c>
      <c r="BQ169" s="21">
        <f>EXP(-LN(2)/25)*BQ168+(1-EXP(-LN(2)/25))/(LN(2)/25)*Calculateur!BL169*Calculateur!BN169*VLOOKUP('Données projet'!$B$11,Paramètres!$A$1:$I$89,3,0)*0.475*44/12</f>
        <v>0.18095420757218345</v>
      </c>
      <c r="BR169" s="21">
        <f>EXP(-LN(2)/2)*BR168+(1-EXP(-LN(2)/2))/(LN(2)/2)*BL169*BO169*VLOOKUP('Données projet'!$B$11,Paramètres!$A$1:$I$89,3,0)*0.475*44/12</f>
        <v>3.3312709688118109E-20</v>
      </c>
      <c r="BS169" s="22">
        <f t="shared" si="169"/>
        <v>0.3930162918595374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-1.223725121235475E-13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303.1504619632214</v>
      </c>
      <c r="CE169" s="59">
        <f t="shared" si="148"/>
        <v>188.09929616366503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8.5115906157671603E-2</v>
      </c>
      <c r="CM169" s="21">
        <f>EXP(-LN(2)/2)*CM168+(1-EXP(-LN(2)/2))/(LN(2)/2)*CG169*CJ169*VLOOKUP('Données projet'!$B$12,Paramètres!$A$1:$I$89,3,0)*0.475*44/12</f>
        <v>2.4947457053488511E-20</v>
      </c>
      <c r="CN169" s="22">
        <f t="shared" si="172"/>
        <v>8.5115906157671603E-2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5.6843418860808015E-14</v>
      </c>
      <c r="CU169" s="17">
        <f>CT169*VLOOKUP('Données projet'!$B$13,Paramètres!$A$1:$I$89,3,0)*VLOOKUP('Données projet'!$B$13,Paramètres!$A$1:$I$89,5,0)</f>
        <v>3.813056537183002E-14</v>
      </c>
      <c r="CV169" s="13">
        <f t="shared" si="173"/>
        <v>6.4086286045526829E-13</v>
      </c>
      <c r="CW169" s="20">
        <f t="shared" si="174"/>
        <v>1.1825802166488628E-12</v>
      </c>
      <c r="CX169" s="59">
        <f t="shared" si="122"/>
        <v>293.33333333333451</v>
      </c>
      <c r="CY169" s="59">
        <f ca="1">AVERAGE(OFFSET($CX$3,0,0,'Données projet'!$E$13+1,1))-AVERAGE(OFFSET($H$3,0,0,'Données projet'!$E$13+1,1))</f>
        <v>156.63226020379989</v>
      </c>
      <c r="CZ169" s="59">
        <f t="shared" si="150"/>
        <v>196.0481096619543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0.19971649934198896</v>
      </c>
      <c r="DH169" s="21">
        <f>EXP(-LN(2)/2)*DH168+(1-EXP(-LN(2)/2))/(LN(2)/2)*DB169*DE169*VLOOKUP('Données projet'!$B$13,Paramètres!$A$1:$I$89,3,0)*0.475*44/12</f>
        <v>3.0742114861405363E-20</v>
      </c>
      <c r="DI169" s="22">
        <f t="shared" si="175"/>
        <v>0.19971649934198896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-8.5265128291212022E-14</v>
      </c>
      <c r="DP169" s="17">
        <f>DO169*VLOOKUP('Données projet'!$B$14,Paramètres!$A$1:$I$89,3,0)*VLOOKUP('Données projet'!$B$14,Paramètres!$A$1:$I$89,5,0)</f>
        <v>-7.7147888077888636E-14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225.28075317732998</v>
      </c>
      <c r="DU169" s="59">
        <f t="shared" si="152"/>
        <v>358.43407531256207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0.15177987179068186</v>
      </c>
      <c r="EB169" s="21">
        <f>EXP(-LN(2)/25)*EB168+(1-EXP(-LN(2)/25))/(LN(2)/25)*Calculateur!DW169*Calculateur!DY169*VLOOKUP('Données projet'!$B$14,Paramètres!$A$1:$I$89,3,0)*0.475*44/12</f>
        <v>0.19055060198596094</v>
      </c>
      <c r="EC169" s="21">
        <f>EXP(-LN(2)/2)*EC168+(1-EXP(-LN(2)/2))/(LN(2)/2)*DW169*DZ169*VLOOKUP('Données projet'!$B$14,Paramètres!$A$1:$I$89,3,0)*0.475*44/12</f>
        <v>1.4955285257021394E-20</v>
      </c>
      <c r="ED169" s="22">
        <f t="shared" si="178"/>
        <v>0.34233047377664283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-5.6843418860808015E-13</v>
      </c>
      <c r="EK169" s="17">
        <f>EJ169*VLOOKUP('Données projet'!$B$15,Paramètres!$A$1:$I$89,3,0)*VLOOKUP('Données projet'!$B$15,Paramètres!$A$1:$I$89,5,0)</f>
        <v>-3.177547114319168E-13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326.31232746914907</v>
      </c>
      <c r="EP169" s="59">
        <f t="shared" si="154"/>
        <v>330.17137761430297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0.30903261859352954</v>
      </c>
      <c r="EW169" s="21">
        <f>EXP(-LN(2)/25)*EW168+(1-EXP(-LN(2)/25))/(LN(2)/25)*Calculateur!ER169*Calculateur!ET169*VLOOKUP('Données projet'!$B$15,Paramètres!$A$1:$I$89,3,0)*0.475*44/12</f>
        <v>0.69504763792529745</v>
      </c>
      <c r="EX169" s="21">
        <f>EXP(-LN(2)/2)*EX168+(1-EXP(-LN(2)/2))/(LN(2)/2)*ER169*EU169*VLOOKUP('Données projet'!$B$15,Paramètres!$A$1:$I$89,3,0)*0.475*44/12</f>
        <v>1.1018912145309827E-19</v>
      </c>
      <c r="EY169" s="22">
        <f t="shared" si="181"/>
        <v>1.0040802565188269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255.41017495879987</v>
      </c>
      <c r="FK169" s="59">
        <f t="shared" si="156"/>
        <v>297.50513563712764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0.56449087201862447</v>
      </c>
      <c r="FR169" s="21">
        <f>EXP(-LN(2)/25)*FR168+(1-EXP(-LN(2)/25))/(LN(2)/25)*Calculateur!FM169*Calculateur!FO169*VLOOKUP('Données projet'!$B$16,Paramètres!$A$1:$I$89,3,0)*0.475*44/12</f>
        <v>0.64199512585345331</v>
      </c>
      <c r="FS169" s="21">
        <f>EXP(-LN(2)/2)*FS168+(1-EXP(-LN(2)/2))/(LN(2)/2)*FM169*FP169*VLOOKUP('Données projet'!$B$16,Paramètres!$A$1:$I$89,3,0)*0.475*44/12</f>
        <v>8.2674451380855925E-20</v>
      </c>
      <c r="FT169" s="22">
        <f t="shared" si="184"/>
        <v>1.2064859978720777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1.1368683772161603E-13</v>
      </c>
      <c r="GA169" s="17">
        <f>FZ169*VLOOKUP('Données projet'!$B$17,Paramètres!$A$1:$I$89,3,0)*VLOOKUP('Données projet'!$B$17,Paramètres!$A$1:$I$89,5,0)</f>
        <v>6.7984728957526396E-14</v>
      </c>
      <c r="GB169" s="13">
        <f t="shared" si="185"/>
        <v>1.0682447123141398E-12</v>
      </c>
      <c r="GC169" s="20">
        <f t="shared" si="186"/>
        <v>1.978932943548152E-12</v>
      </c>
      <c r="GD169" s="59">
        <f t="shared" si="134"/>
        <v>293.3333333333353</v>
      </c>
      <c r="GE169" s="59">
        <f ca="1">AVERAGE(OFFSET($GD$3,0,0,'Données projet'!$E$17+1,1))-AVERAGE(OFFSET($H$3,0,0,'Données projet'!$E$17+1,1))</f>
        <v>259.30247982593914</v>
      </c>
      <c r="GF169" s="59">
        <f t="shared" si="158"/>
        <v>275.24740346220779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</v>
      </c>
      <c r="GM169" s="21">
        <f>EXP(-LN(2)/25)*GM168+(1-EXP(-LN(2)/25))/(LN(2)/25)*Calculateur!GH169*Calculateur!GJ169*VLOOKUP('Données projet'!$B$17,Paramètres!$A$1:$I$89,3,0)*0.475*44/12</f>
        <v>0.41539868762630838</v>
      </c>
      <c r="GN169" s="21">
        <f>EXP(-LN(2)/2)*GN168+(1-EXP(-LN(2)/2))/(LN(2)/2)*GH169*GK169*VLOOKUP('Données projet'!$B$17,Paramètres!$A$1:$I$89,3,0)*0.475*44/12</f>
        <v>9.7173212747136884E-20</v>
      </c>
      <c r="GO169" s="21">
        <f t="shared" si="187"/>
        <v>0.41539868762630838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5.6843418860808015E-14</v>
      </c>
      <c r="GV169" s="17">
        <f>GU169*VLOOKUP('Données projet'!$B$18,Paramètres!$A$1:$I$89,3,0)*VLOOKUP('Données projet'!$B$18,Paramètres!$A$1:$I$89,5,0)</f>
        <v>4.5224624045658861E-14</v>
      </c>
      <c r="GW169" s="13">
        <f t="shared" si="188"/>
        <v>7.4514601661523691E-13</v>
      </c>
      <c r="GX169" s="20">
        <f t="shared" si="189"/>
        <v>1.3765621991510601E-12</v>
      </c>
      <c r="GY169" s="59">
        <f t="shared" si="137"/>
        <v>293.33333333333468</v>
      </c>
      <c r="GZ169" s="59">
        <f ca="1">AVERAGE(OFFSET($GY$3,0,0,'Données projet'!$E$18+1,1))-AVERAGE(OFFSET($H$3,0,0,'Données projet'!$E$18+1,1))</f>
        <v>199.58763537752952</v>
      </c>
      <c r="HA169" s="59">
        <f t="shared" si="160"/>
        <v>242.62852778451929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0</v>
      </c>
      <c r="HH169" s="21">
        <f>EXP(-LN(2)/25)*HH168+(1-EXP(-LN(2)/25))/(LN(2)/25)*Calculateur!HC169*Calculateur!HE169*VLOOKUP('Données projet'!$B$18,Paramètres!$A$1:$I$89,3,0)*0.475*44/12</f>
        <v>0.23687305735910283</v>
      </c>
      <c r="HI169" s="21">
        <f>EXP(-LN(2)/2)*HI168+(1-EXP(-LN(2)/2))/(LN(2)/2)*HC169*HF169*VLOOKUP('Données projet'!$B$18,Paramètres!$A$1:$I$89,3,0)*0.475*44/12</f>
        <v>3.6461578091434303E-20</v>
      </c>
      <c r="HJ169" s="22">
        <f t="shared" si="190"/>
        <v>0.23687305735910283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-1.0286385077051818E-13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237.22177246688199</v>
      </c>
      <c r="T170" s="59">
        <f t="shared" si="142"/>
        <v>149.27472147904302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6.9590255350853197E-2</v>
      </c>
      <c r="AB170" s="21">
        <f>EXP(-LN(2)/2)*AB169+(1-EXP(-LN(2)/2))/(LN(2)/2)*V170*Y170*VLOOKUP('Données projet'!$B$9,Paramètres!$A$1:$I$89,3,0)*0.475*44/12</f>
        <v>1.4828259873060115E-20</v>
      </c>
      <c r="AC170" s="22">
        <f t="shared" si="163"/>
        <v>6.9590255350853197E-2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-1.1527845344971866E-13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279.20364724206644</v>
      </c>
      <c r="AO170" s="59">
        <f t="shared" si="144"/>
        <v>173.99850582760712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7.7989079272507811E-2</v>
      </c>
      <c r="AW170" s="21">
        <f>EXP(-LN(2)/2)*AW169+(1-EXP(-LN(2)/2))/(LN(2)/2)*AQ170*AT170*VLOOKUP('Données projet'!$B$10,Paramètres!$A$1:$I$89,3,0)*0.475*44/12</f>
        <v>1.6617877443946678E-20</v>
      </c>
      <c r="AX170" s="21">
        <f t="shared" si="166"/>
        <v>7.7989079272507811E-2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-5.3205440053716299E-14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215.23235148064941</v>
      </c>
      <c r="BJ170" s="59">
        <f t="shared" si="146"/>
        <v>184.07239726900434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0.20790367615957858</v>
      </c>
      <c r="BQ170" s="21">
        <f>EXP(-LN(2)/25)*BQ169+(1-EXP(-LN(2)/25))/(LN(2)/25)*Calculateur!BL170*Calculateur!BN170*VLOOKUP('Données projet'!$B$11,Paramètres!$A$1:$I$89,3,0)*0.475*44/12</f>
        <v>0.17600600525015389</v>
      </c>
      <c r="BR170" s="21">
        <f>EXP(-LN(2)/2)*BR169+(1-EXP(-LN(2)/2))/(LN(2)/2)*BL170*BO170*VLOOKUP('Données projet'!$B$11,Paramètres!$A$1:$I$89,3,0)*0.475*44/12</f>
        <v>2.3555642920167114E-20</v>
      </c>
      <c r="BS170" s="22">
        <f t="shared" si="169"/>
        <v>0.38390968140973247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-1.223725121235475E-13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303.1504619632214</v>
      </c>
      <c r="CE170" s="59">
        <f t="shared" si="148"/>
        <v>188.09929616366503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8.27884072277391E-2</v>
      </c>
      <c r="CM170" s="21">
        <f>EXP(-LN(2)/2)*CM169+(1-EXP(-LN(2)/2))/(LN(2)/2)*CG170*CJ170*VLOOKUP('Données projet'!$B$12,Paramètres!$A$1:$I$89,3,0)*0.475*44/12</f>
        <v>1.7640516055881892E-20</v>
      </c>
      <c r="CN170" s="22">
        <f t="shared" si="172"/>
        <v>8.27884072277391E-2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5.6843418860808015E-14</v>
      </c>
      <c r="CU170" s="17">
        <f>CT170*VLOOKUP('Données projet'!$B$13,Paramètres!$A$1:$I$89,3,0)*VLOOKUP('Données projet'!$B$13,Paramètres!$A$1:$I$89,5,0)</f>
        <v>3.813056537183002E-14</v>
      </c>
      <c r="CV170" s="13">
        <f t="shared" si="173"/>
        <v>6.4086286045526829E-13</v>
      </c>
      <c r="CW170" s="20">
        <f t="shared" si="174"/>
        <v>1.1825802166488628E-12</v>
      </c>
      <c r="CX170" s="59">
        <f t="shared" si="122"/>
        <v>293.33333333333451</v>
      </c>
      <c r="CY170" s="59">
        <f ca="1">AVERAGE(OFFSET($CX$3,0,0,'Données projet'!$E$13+1,1))-AVERAGE(OFFSET($H$3,0,0,'Données projet'!$E$13+1,1))</f>
        <v>156.63226020379989</v>
      </c>
      <c r="CZ170" s="59">
        <f t="shared" si="150"/>
        <v>196.0481096619543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0.19425524116484802</v>
      </c>
      <c r="DH170" s="21">
        <f>EXP(-LN(2)/2)*DH169+(1-EXP(-LN(2)/2))/(LN(2)/2)*DB170*DE170*VLOOKUP('Données projet'!$B$13,Paramètres!$A$1:$I$89,3,0)*0.475*44/12</f>
        <v>2.1737957886515473E-20</v>
      </c>
      <c r="DI170" s="22">
        <f t="shared" si="175"/>
        <v>0.19425524116484802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-8.5265128291212022E-14</v>
      </c>
      <c r="DP170" s="17">
        <f>DO170*VLOOKUP('Données projet'!$B$14,Paramètres!$A$1:$I$89,3,0)*VLOOKUP('Données projet'!$B$14,Paramètres!$A$1:$I$89,5,0)</f>
        <v>-7.7147888077888636E-14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225.28075317732998</v>
      </c>
      <c r="DU170" s="59">
        <f t="shared" si="152"/>
        <v>358.43407531256207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0.14880356108144721</v>
      </c>
      <c r="EB170" s="21">
        <f>EXP(-LN(2)/25)*EB169+(1-EXP(-LN(2)/25))/(LN(2)/25)*Calculateur!DW170*Calculateur!DY170*VLOOKUP('Données projet'!$B$14,Paramètres!$A$1:$I$89,3,0)*0.475*44/12</f>
        <v>0.18533998575403418</v>
      </c>
      <c r="EC170" s="21">
        <f>EXP(-LN(2)/2)*EC169+(1-EXP(-LN(2)/2))/(LN(2)/2)*DW170*DZ170*VLOOKUP('Données projet'!$B$14,Paramètres!$A$1:$I$89,3,0)*0.475*44/12</f>
        <v>1.0574983619819027E-20</v>
      </c>
      <c r="ED170" s="22">
        <f t="shared" si="178"/>
        <v>0.33414354683548142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-5.6843418860808015E-13</v>
      </c>
      <c r="EK170" s="17">
        <f>EJ170*VLOOKUP('Données projet'!$B$15,Paramètres!$A$1:$I$89,3,0)*VLOOKUP('Données projet'!$B$15,Paramètres!$A$1:$I$89,5,0)</f>
        <v>-3.177547114319168E-13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326.31232746914907</v>
      </c>
      <c r="EP170" s="59">
        <f t="shared" si="154"/>
        <v>330.17137761430297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0.30297267743419581</v>
      </c>
      <c r="EW170" s="21">
        <f>EXP(-LN(2)/25)*EW169+(1-EXP(-LN(2)/25))/(LN(2)/25)*Calculateur!ER170*Calculateur!ET170*VLOOKUP('Données projet'!$B$15,Paramètres!$A$1:$I$89,3,0)*0.475*44/12</f>
        <v>0.67604152371526349</v>
      </c>
      <c r="EX170" s="21">
        <f>EXP(-LN(2)/2)*EX169+(1-EXP(-LN(2)/2))/(LN(2)/2)*ER170*EU170*VLOOKUP('Données projet'!$B$15,Paramètres!$A$1:$I$89,3,0)*0.475*44/12</f>
        <v>7.791547499247387E-20</v>
      </c>
      <c r="EY170" s="22">
        <f t="shared" si="181"/>
        <v>0.97901420114945936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255.41017495879987</v>
      </c>
      <c r="FK170" s="59">
        <f t="shared" si="156"/>
        <v>297.50513563712764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0.55342155032377383</v>
      </c>
      <c r="FR170" s="21">
        <f>EXP(-LN(2)/25)*FR169+(1-EXP(-LN(2)/25))/(LN(2)/25)*Calculateur!FM170*Calculateur!FO170*VLOOKUP('Données projet'!$B$16,Paramètres!$A$1:$I$89,3,0)*0.475*44/12</f>
        <v>0.62443973537593422</v>
      </c>
      <c r="FS170" s="21">
        <f>EXP(-LN(2)/2)*FS169+(1-EXP(-LN(2)/2))/(LN(2)/2)*FM170*FP170*VLOOKUP('Données projet'!$B$16,Paramètres!$A$1:$I$89,3,0)*0.475*44/12</f>
        <v>5.8459665202280752E-20</v>
      </c>
      <c r="FT170" s="22">
        <f t="shared" si="184"/>
        <v>1.1778612856997079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1.1368683772161603E-13</v>
      </c>
      <c r="GA170" s="17">
        <f>FZ170*VLOOKUP('Données projet'!$B$17,Paramètres!$A$1:$I$89,3,0)*VLOOKUP('Données projet'!$B$17,Paramètres!$A$1:$I$89,5,0)</f>
        <v>6.7984728957526396E-14</v>
      </c>
      <c r="GB170" s="13">
        <f t="shared" si="185"/>
        <v>1.0682447123141398E-12</v>
      </c>
      <c r="GC170" s="20">
        <f t="shared" si="186"/>
        <v>1.978932943548152E-12</v>
      </c>
      <c r="GD170" s="59">
        <f t="shared" si="134"/>
        <v>293.3333333333353</v>
      </c>
      <c r="GE170" s="59">
        <f ca="1">AVERAGE(OFFSET($GD$3,0,0,'Données projet'!$E$17+1,1))-AVERAGE(OFFSET($H$3,0,0,'Données projet'!$E$17+1,1))</f>
        <v>259.30247982593914</v>
      </c>
      <c r="GF170" s="59">
        <f t="shared" si="158"/>
        <v>275.24740346220779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</v>
      </c>
      <c r="GM170" s="21">
        <f>EXP(-LN(2)/25)*GM169+(1-EXP(-LN(2)/25))/(LN(2)/25)*Calculateur!GH170*Calculateur!GJ170*VLOOKUP('Données projet'!$B$17,Paramètres!$A$1:$I$89,3,0)*0.475*44/12</f>
        <v>0.40403958866829942</v>
      </c>
      <c r="GN170" s="21">
        <f>EXP(-LN(2)/2)*GN169+(1-EXP(-LN(2)/2))/(LN(2)/2)*GH170*GK170*VLOOKUP('Données projet'!$B$17,Paramètres!$A$1:$I$89,3,0)*0.475*44/12</f>
        <v>6.871183768318355E-20</v>
      </c>
      <c r="GO170" s="21">
        <f t="shared" si="187"/>
        <v>0.40403958866829942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5.6843418860808015E-14</v>
      </c>
      <c r="GV170" s="17">
        <f>GU170*VLOOKUP('Données projet'!$B$18,Paramètres!$A$1:$I$89,3,0)*VLOOKUP('Données projet'!$B$18,Paramètres!$A$1:$I$89,5,0)</f>
        <v>4.5224624045658861E-14</v>
      </c>
      <c r="GW170" s="13">
        <f t="shared" si="188"/>
        <v>7.4514601661523691E-13</v>
      </c>
      <c r="GX170" s="20">
        <f t="shared" si="189"/>
        <v>1.3765621991510601E-12</v>
      </c>
      <c r="GY170" s="59">
        <f t="shared" si="137"/>
        <v>293.33333333333468</v>
      </c>
      <c r="GZ170" s="59">
        <f ca="1">AVERAGE(OFFSET($GY$3,0,0,'Données projet'!$E$18+1,1))-AVERAGE(OFFSET($H$3,0,0,'Données projet'!$E$18+1,1))</f>
        <v>199.58763537752952</v>
      </c>
      <c r="HA170" s="59">
        <f t="shared" si="160"/>
        <v>242.62852778451929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0</v>
      </c>
      <c r="HH170" s="21">
        <f>EXP(-LN(2)/25)*HH169+(1-EXP(-LN(2)/25))/(LN(2)/25)*Calculateur!HC170*Calculateur!HE170*VLOOKUP('Données projet'!$B$18,Paramètres!$A$1:$I$89,3,0)*0.475*44/12</f>
        <v>0.23039575114900546</v>
      </c>
      <c r="HI170" s="21">
        <f>EXP(-LN(2)/2)*HI169+(1-EXP(-LN(2)/2))/(LN(2)/2)*HC170*HF170*VLOOKUP('Données projet'!$B$18,Paramètres!$A$1:$I$89,3,0)*0.475*44/12</f>
        <v>2.5782229121216051E-20</v>
      </c>
      <c r="HJ170" s="22">
        <f t="shared" si="190"/>
        <v>0.23039575114900546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-1.0286385077051818E-13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237.22177246688199</v>
      </c>
      <c r="T171" s="59">
        <f t="shared" si="142"/>
        <v>149.27472147904302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6.7687306158691632E-2</v>
      </c>
      <c r="AB171" s="21">
        <f>EXP(-LN(2)/2)*AB170+(1-EXP(-LN(2)/2))/(LN(2)/2)*V171*Y171*VLOOKUP('Données projet'!$B$9,Paramètres!$A$1:$I$89,3,0)*0.475*44/12</f>
        <v>1.0485163109437182E-20</v>
      </c>
      <c r="AC171" s="22">
        <f t="shared" si="163"/>
        <v>6.7687306158691632E-2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-1.1527845344971866E-13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279.20364724206644</v>
      </c>
      <c r="AO171" s="59">
        <f t="shared" si="144"/>
        <v>173.99850582760712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7.5856463798533655E-2</v>
      </c>
      <c r="AW171" s="21">
        <f>EXP(-LN(2)/2)*AW170+(1-EXP(-LN(2)/2))/(LN(2)/2)*AQ171*AT171*VLOOKUP('Données projet'!$B$10,Paramètres!$A$1:$I$89,3,0)*0.475*44/12</f>
        <v>1.1750613829541668E-20</v>
      </c>
      <c r="AX171" s="21">
        <f t="shared" si="166"/>
        <v>7.5856463798533655E-2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-5.3205440053716299E-14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215.23235148064941</v>
      </c>
      <c r="BJ171" s="59">
        <f t="shared" si="146"/>
        <v>184.07239726900434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0.20382681187881038</v>
      </c>
      <c r="BQ171" s="21">
        <f>EXP(-LN(2)/25)*BQ170+(1-EXP(-LN(2)/25))/(LN(2)/25)*Calculateur!BL171*Calculateur!BN171*VLOOKUP('Données projet'!$B$11,Paramètres!$A$1:$I$89,3,0)*0.475*44/12</f>
        <v>0.17119311178083488</v>
      </c>
      <c r="BR171" s="21">
        <f>EXP(-LN(2)/2)*BR170+(1-EXP(-LN(2)/2))/(LN(2)/2)*BL171*BO171*VLOOKUP('Données projet'!$B$11,Paramètres!$A$1:$I$89,3,0)*0.475*44/12</f>
        <v>1.6656354844059055E-20</v>
      </c>
      <c r="BS171" s="22">
        <f t="shared" si="169"/>
        <v>0.37501992365964526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-1.223725121235475E-13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303.1504619632214</v>
      </c>
      <c r="CE171" s="59">
        <f t="shared" si="148"/>
        <v>188.09929616366503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8.0524553878443456E-2</v>
      </c>
      <c r="CM171" s="21">
        <f>EXP(-LN(2)/2)*CM170+(1-EXP(-LN(2)/2))/(LN(2)/2)*CG171*CJ171*VLOOKUP('Données projet'!$B$12,Paramètres!$A$1:$I$89,3,0)*0.475*44/12</f>
        <v>1.2473728526744255E-20</v>
      </c>
      <c r="CN171" s="22">
        <f t="shared" si="172"/>
        <v>8.0524553878443456E-2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5.6843418860808015E-14</v>
      </c>
      <c r="CU171" s="17">
        <f>CT171*VLOOKUP('Données projet'!$B$13,Paramètres!$A$1:$I$89,3,0)*VLOOKUP('Données projet'!$B$13,Paramètres!$A$1:$I$89,5,0)</f>
        <v>3.813056537183002E-14</v>
      </c>
      <c r="CV171" s="13">
        <f t="shared" si="173"/>
        <v>6.4086286045526829E-13</v>
      </c>
      <c r="CW171" s="20">
        <f t="shared" si="174"/>
        <v>1.1825802166488628E-12</v>
      </c>
      <c r="CX171" s="59">
        <f t="shared" si="122"/>
        <v>293.33333333333451</v>
      </c>
      <c r="CY171" s="59">
        <f ca="1">AVERAGE(OFFSET($CX$3,0,0,'Données projet'!$E$13+1,1))-AVERAGE(OFFSET($H$3,0,0,'Données projet'!$E$13+1,1))</f>
        <v>156.63226020379989</v>
      </c>
      <c r="CZ171" s="59">
        <f t="shared" si="150"/>
        <v>196.0481096619543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0.18894332137975609</v>
      </c>
      <c r="DH171" s="21">
        <f>EXP(-LN(2)/2)*DH170+(1-EXP(-LN(2)/2))/(LN(2)/2)*DB171*DE171*VLOOKUP('Données projet'!$B$13,Paramètres!$A$1:$I$89,3,0)*0.475*44/12</f>
        <v>1.5371057430702682E-20</v>
      </c>
      <c r="DI171" s="22">
        <f t="shared" si="175"/>
        <v>0.18894332137975609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-8.5265128291212022E-14</v>
      </c>
      <c r="DP171" s="17">
        <f>DO171*VLOOKUP('Données projet'!$B$14,Paramètres!$A$1:$I$89,3,0)*VLOOKUP('Données projet'!$B$14,Paramètres!$A$1:$I$89,5,0)</f>
        <v>-7.7147888077888636E-14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225.28075317732998</v>
      </c>
      <c r="DU171" s="59">
        <f t="shared" si="152"/>
        <v>358.43407531256207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0.14588561400985037</v>
      </c>
      <c r="EB171" s="21">
        <f>EXP(-LN(2)/25)*EB170+(1-EXP(-LN(2)/25))/(LN(2)/25)*Calculateur!DW171*Calculateur!DY171*VLOOKUP('Données projet'!$B$14,Paramètres!$A$1:$I$89,3,0)*0.475*44/12</f>
        <v>0.18027185409698387</v>
      </c>
      <c r="EC171" s="21">
        <f>EXP(-LN(2)/2)*EC170+(1-EXP(-LN(2)/2))/(LN(2)/2)*DW171*DZ171*VLOOKUP('Données projet'!$B$14,Paramètres!$A$1:$I$89,3,0)*0.475*44/12</f>
        <v>7.477642628510697E-21</v>
      </c>
      <c r="ED171" s="22">
        <f t="shared" si="178"/>
        <v>0.32615746810683421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-5.6843418860808015E-13</v>
      </c>
      <c r="EK171" s="17">
        <f>EJ171*VLOOKUP('Données projet'!$B$15,Paramètres!$A$1:$I$89,3,0)*VLOOKUP('Données projet'!$B$15,Paramètres!$A$1:$I$89,5,0)</f>
        <v>-3.177547114319168E-13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326.31232746914907</v>
      </c>
      <c r="EP171" s="59">
        <f t="shared" si="154"/>
        <v>330.17137761430297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0.29703156802479747</v>
      </c>
      <c r="EW171" s="21">
        <f>EXP(-LN(2)/25)*EW170+(1-EXP(-LN(2)/25))/(LN(2)/25)*Calculateur!ER171*Calculateur!ET171*VLOOKUP('Données projet'!$B$15,Paramètres!$A$1:$I$89,3,0)*0.475*44/12</f>
        <v>0.65755513269779098</v>
      </c>
      <c r="EX171" s="21">
        <f>EXP(-LN(2)/2)*EX170+(1-EXP(-LN(2)/2))/(LN(2)/2)*ER171*EU171*VLOOKUP('Données projet'!$B$15,Paramètres!$A$1:$I$89,3,0)*0.475*44/12</f>
        <v>5.5094560726549137E-20</v>
      </c>
      <c r="EY171" s="22">
        <f t="shared" si="181"/>
        <v>0.95458670072258844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255.41017495879987</v>
      </c>
      <c r="FK171" s="59">
        <f t="shared" si="156"/>
        <v>297.50513563712764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0.54256929127573961</v>
      </c>
      <c r="FR171" s="21">
        <f>EXP(-LN(2)/25)*FR170+(1-EXP(-LN(2)/25))/(LN(2)/25)*Calculateur!FM171*Calculateur!FO171*VLOOKUP('Données projet'!$B$16,Paramètres!$A$1:$I$89,3,0)*0.475*44/12</f>
        <v>0.60736439797422082</v>
      </c>
      <c r="FS171" s="21">
        <f>EXP(-LN(2)/2)*FS170+(1-EXP(-LN(2)/2))/(LN(2)/2)*FM171*FP171*VLOOKUP('Données projet'!$B$16,Paramètres!$A$1:$I$89,3,0)*0.475*44/12</f>
        <v>4.1337225690427963E-20</v>
      </c>
      <c r="FT171" s="22">
        <f t="shared" si="184"/>
        <v>1.1499336892499605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1.1368683772161603E-13</v>
      </c>
      <c r="GA171" s="17">
        <f>FZ171*VLOOKUP('Données projet'!$B$17,Paramètres!$A$1:$I$89,3,0)*VLOOKUP('Données projet'!$B$17,Paramètres!$A$1:$I$89,5,0)</f>
        <v>6.7984728957526396E-14</v>
      </c>
      <c r="GB171" s="13">
        <f t="shared" si="185"/>
        <v>1.0682447123141398E-12</v>
      </c>
      <c r="GC171" s="20">
        <f t="shared" si="186"/>
        <v>1.978932943548152E-12</v>
      </c>
      <c r="GD171" s="59">
        <f t="shared" si="134"/>
        <v>293.3333333333353</v>
      </c>
      <c r="GE171" s="59">
        <f ca="1">AVERAGE(OFFSET($GD$3,0,0,'Données projet'!$E$17+1,1))-AVERAGE(OFFSET($H$3,0,0,'Données projet'!$E$17+1,1))</f>
        <v>259.30247982593914</v>
      </c>
      <c r="GF171" s="59">
        <f t="shared" si="158"/>
        <v>275.24740346220779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</v>
      </c>
      <c r="GM171" s="21">
        <f>EXP(-LN(2)/25)*GM170+(1-EXP(-LN(2)/25))/(LN(2)/25)*Calculateur!GH171*Calculateur!GJ171*VLOOKUP('Données projet'!$B$17,Paramètres!$A$1:$I$89,3,0)*0.475*44/12</f>
        <v>0.39299110486864625</v>
      </c>
      <c r="GN171" s="21">
        <f>EXP(-LN(2)/2)*GN170+(1-EXP(-LN(2)/2))/(LN(2)/2)*GH171*GK171*VLOOKUP('Données projet'!$B$17,Paramètres!$A$1:$I$89,3,0)*0.475*44/12</f>
        <v>4.8586606373568442E-20</v>
      </c>
      <c r="GO171" s="21">
        <f t="shared" si="187"/>
        <v>0.39299110486864625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5.6843418860808015E-14</v>
      </c>
      <c r="GV171" s="17">
        <f>GU171*VLOOKUP('Données projet'!$B$18,Paramètres!$A$1:$I$89,3,0)*VLOOKUP('Données projet'!$B$18,Paramètres!$A$1:$I$89,5,0)</f>
        <v>4.5224624045658861E-14</v>
      </c>
      <c r="GW171" s="13">
        <f t="shared" si="188"/>
        <v>7.4514601661523691E-13</v>
      </c>
      <c r="GX171" s="20">
        <f t="shared" si="189"/>
        <v>1.3765621991510601E-12</v>
      </c>
      <c r="GY171" s="59">
        <f t="shared" si="137"/>
        <v>293.33333333333468</v>
      </c>
      <c r="GZ171" s="59">
        <f ca="1">AVERAGE(OFFSET($GY$3,0,0,'Données projet'!$E$18+1,1))-AVERAGE(OFFSET($H$3,0,0,'Données projet'!$E$18+1,1))</f>
        <v>199.58763537752952</v>
      </c>
      <c r="HA171" s="59">
        <f t="shared" si="160"/>
        <v>242.62852778451929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0</v>
      </c>
      <c r="HH171" s="21">
        <f>EXP(-LN(2)/25)*HH170+(1-EXP(-LN(2)/25))/(LN(2)/25)*Calculateur!HC171*Calculateur!HE171*VLOOKUP('Données projet'!$B$18,Paramètres!$A$1:$I$89,3,0)*0.475*44/12</f>
        <v>0.22409556721784993</v>
      </c>
      <c r="HI171" s="21">
        <f>EXP(-LN(2)/2)*HI170+(1-EXP(-LN(2)/2))/(LN(2)/2)*HC171*HF171*VLOOKUP('Données projet'!$B$18,Paramètres!$A$1:$I$89,3,0)*0.475*44/12</f>
        <v>1.8230789045717151E-20</v>
      </c>
      <c r="HJ171" s="22">
        <f t="shared" si="190"/>
        <v>0.22409556721784993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-1.0286385077051818E-13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237.22177246688199</v>
      </c>
      <c r="T172" s="59">
        <f t="shared" si="142"/>
        <v>149.27472147904302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6.5836393212261479E-2</v>
      </c>
      <c r="AB172" s="21">
        <f>EXP(-LN(2)/2)*AB171+(1-EXP(-LN(2)/2))/(LN(2)/2)*V172*Y172*VLOOKUP('Données projet'!$B$9,Paramètres!$A$1:$I$89,3,0)*0.475*44/12</f>
        <v>7.4141299365300576E-21</v>
      </c>
      <c r="AC172" s="22">
        <f t="shared" si="163"/>
        <v>6.5836393212261479E-2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-1.1527845344971866E-13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279.20364724206644</v>
      </c>
      <c r="AO172" s="59">
        <f t="shared" si="144"/>
        <v>173.99850582760712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7.3782164806844699E-2</v>
      </c>
      <c r="AW172" s="21">
        <f>EXP(-LN(2)/2)*AW171+(1-EXP(-LN(2)/2))/(LN(2)/2)*AQ172*AT172*VLOOKUP('Données projet'!$B$10,Paramètres!$A$1:$I$89,3,0)*0.475*44/12</f>
        <v>8.3089387219733392E-21</v>
      </c>
      <c r="AX172" s="21">
        <f t="shared" si="166"/>
        <v>7.3782164806844699E-2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-5.3205440053716299E-14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215.23235148064941</v>
      </c>
      <c r="BJ172" s="59">
        <f t="shared" si="146"/>
        <v>184.07239726900434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0.19982989241994636</v>
      </c>
      <c r="BQ172" s="21">
        <f>EXP(-LN(2)/25)*BQ171+(1-EXP(-LN(2)/25))/(LN(2)/25)*Calculateur!BL172*Calculateur!BN172*VLOOKUP('Données projet'!$B$11,Paramètres!$A$1:$I$89,3,0)*0.475*44/12</f>
        <v>0.16651182713653348</v>
      </c>
      <c r="BR172" s="21">
        <f>EXP(-LN(2)/2)*BR171+(1-EXP(-LN(2)/2))/(LN(2)/2)*BL172*BO172*VLOOKUP('Données projet'!$B$11,Paramètres!$A$1:$I$89,3,0)*0.475*44/12</f>
        <v>1.1777821460083557E-20</v>
      </c>
      <c r="BS172" s="22">
        <f t="shared" si="169"/>
        <v>0.36634171955647987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-1.223725121235475E-13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303.1504619632214</v>
      </c>
      <c r="CE172" s="59">
        <f t="shared" si="148"/>
        <v>188.09929616366503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7.8322605718035176E-2</v>
      </c>
      <c r="CM172" s="21">
        <f>EXP(-LN(2)/2)*CM171+(1-EXP(-LN(2)/2))/(LN(2)/2)*CG172*CJ172*VLOOKUP('Données projet'!$B$12,Paramètres!$A$1:$I$89,3,0)*0.475*44/12</f>
        <v>8.8202580279409459E-21</v>
      </c>
      <c r="CN172" s="22">
        <f t="shared" si="172"/>
        <v>7.8322605718035176E-2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5.6843418860808015E-14</v>
      </c>
      <c r="CU172" s="17">
        <f>CT172*VLOOKUP('Données projet'!$B$13,Paramètres!$A$1:$I$89,3,0)*VLOOKUP('Données projet'!$B$13,Paramètres!$A$1:$I$89,5,0)</f>
        <v>3.813056537183002E-14</v>
      </c>
      <c r="CV172" s="13">
        <f t="shared" si="173"/>
        <v>6.4086286045526829E-13</v>
      </c>
      <c r="CW172" s="20">
        <f t="shared" si="174"/>
        <v>1.1825802166488628E-12</v>
      </c>
      <c r="CX172" s="59">
        <f t="shared" si="122"/>
        <v>293.33333333333451</v>
      </c>
      <c r="CY172" s="59">
        <f ca="1">AVERAGE(OFFSET($CX$3,0,0,'Données projet'!$E$13+1,1))-AVERAGE(OFFSET($H$3,0,0,'Données projet'!$E$13+1,1))</f>
        <v>156.63226020379989</v>
      </c>
      <c r="CZ172" s="59">
        <f t="shared" si="150"/>
        <v>196.0481096619543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0.18377665632052922</v>
      </c>
      <c r="DH172" s="21">
        <f>EXP(-LN(2)/2)*DH171+(1-EXP(-LN(2)/2))/(LN(2)/2)*DB172*DE172*VLOOKUP('Données projet'!$B$13,Paramètres!$A$1:$I$89,3,0)*0.475*44/12</f>
        <v>1.0868978943257737E-20</v>
      </c>
      <c r="DI172" s="22">
        <f t="shared" si="175"/>
        <v>0.18377665632052922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-8.5265128291212022E-14</v>
      </c>
      <c r="DP172" s="17">
        <f>DO172*VLOOKUP('Données projet'!$B$14,Paramètres!$A$1:$I$89,3,0)*VLOOKUP('Données projet'!$B$14,Paramètres!$A$1:$I$89,5,0)</f>
        <v>-7.7147888077888636E-14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225.28075317732998</v>
      </c>
      <c r="DU172" s="59">
        <f t="shared" si="152"/>
        <v>358.43407531256207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0.14302488610055555</v>
      </c>
      <c r="EB172" s="21">
        <f>EXP(-LN(2)/25)*EB171+(1-EXP(-LN(2)/25))/(LN(2)/25)*Calculateur!DW172*Calculateur!DY172*VLOOKUP('Données projet'!$B$14,Paramètres!$A$1:$I$89,3,0)*0.475*44/12</f>
        <v>0.17534231076661705</v>
      </c>
      <c r="EC172" s="21">
        <f>EXP(-LN(2)/2)*EC171+(1-EXP(-LN(2)/2))/(LN(2)/2)*DW172*DZ172*VLOOKUP('Données projet'!$B$14,Paramètres!$A$1:$I$89,3,0)*0.475*44/12</f>
        <v>5.2874918099095135E-21</v>
      </c>
      <c r="ED172" s="22">
        <f t="shared" si="178"/>
        <v>0.31836719686717263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-5.6843418860808015E-13</v>
      </c>
      <c r="EK172" s="17">
        <f>EJ172*VLOOKUP('Données projet'!$B$15,Paramètres!$A$1:$I$89,3,0)*VLOOKUP('Données projet'!$B$15,Paramètres!$A$1:$I$89,5,0)</f>
        <v>-3.177547114319168E-13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326.31232746914907</v>
      </c>
      <c r="EP172" s="59">
        <f t="shared" si="154"/>
        <v>330.17137761430297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0.29120696014719849</v>
      </c>
      <c r="EW172" s="21">
        <f>EXP(-LN(2)/25)*EW171+(1-EXP(-LN(2)/25))/(LN(2)/25)*Calculateur!ER172*Calculateur!ET172*VLOOKUP('Données projet'!$B$15,Paramètres!$A$1:$I$89,3,0)*0.475*44/12</f>
        <v>0.63957425301484827</v>
      </c>
      <c r="EX172" s="21">
        <f>EXP(-LN(2)/2)*EX171+(1-EXP(-LN(2)/2))/(LN(2)/2)*ER172*EU172*VLOOKUP('Données projet'!$B$15,Paramètres!$A$1:$I$89,3,0)*0.475*44/12</f>
        <v>3.8957737496236935E-20</v>
      </c>
      <c r="EY172" s="22">
        <f t="shared" si="181"/>
        <v>0.93078121316204676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255.41017495879987</v>
      </c>
      <c r="FK172" s="59">
        <f t="shared" si="156"/>
        <v>297.50513563712764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0.5319298384084129</v>
      </c>
      <c r="FR172" s="21">
        <f>EXP(-LN(2)/25)*FR171+(1-EXP(-LN(2)/25))/(LN(2)/25)*Calculateur!FM172*Calculateur!FO172*VLOOKUP('Données projet'!$B$16,Paramètres!$A$1:$I$89,3,0)*0.475*44/12</f>
        <v>0.59075598657171025</v>
      </c>
      <c r="FS172" s="21">
        <f>EXP(-LN(2)/2)*FS171+(1-EXP(-LN(2)/2))/(LN(2)/2)*FM172*FP172*VLOOKUP('Données projet'!$B$16,Paramètres!$A$1:$I$89,3,0)*0.475*44/12</f>
        <v>2.9229832601140376E-20</v>
      </c>
      <c r="FT172" s="22">
        <f t="shared" si="184"/>
        <v>1.122685824980123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1.1368683772161603E-13</v>
      </c>
      <c r="GA172" s="17">
        <f>FZ172*VLOOKUP('Données projet'!$B$17,Paramètres!$A$1:$I$89,3,0)*VLOOKUP('Données projet'!$B$17,Paramètres!$A$1:$I$89,5,0)</f>
        <v>6.7984728957526396E-14</v>
      </c>
      <c r="GB172" s="13">
        <f t="shared" si="185"/>
        <v>1.0682447123141398E-12</v>
      </c>
      <c r="GC172" s="20">
        <f t="shared" si="186"/>
        <v>1.978932943548152E-12</v>
      </c>
      <c r="GD172" s="59">
        <f t="shared" si="134"/>
        <v>293.3333333333353</v>
      </c>
      <c r="GE172" s="59">
        <f ca="1">AVERAGE(OFFSET($GD$3,0,0,'Données projet'!$E$17+1,1))-AVERAGE(OFFSET($H$3,0,0,'Données projet'!$E$17+1,1))</f>
        <v>259.30247982593914</v>
      </c>
      <c r="GF172" s="59">
        <f t="shared" si="158"/>
        <v>275.24740346220779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</v>
      </c>
      <c r="GM172" s="21">
        <f>EXP(-LN(2)/25)*GM171+(1-EXP(-LN(2)/25))/(LN(2)/25)*Calculateur!GH172*Calculateur!GJ172*VLOOKUP('Données projet'!$B$17,Paramètres!$A$1:$I$89,3,0)*0.475*44/12</f>
        <v>0.38224474243950912</v>
      </c>
      <c r="GN172" s="21">
        <f>EXP(-LN(2)/2)*GN171+(1-EXP(-LN(2)/2))/(LN(2)/2)*GH172*GK172*VLOOKUP('Données projet'!$B$17,Paramètres!$A$1:$I$89,3,0)*0.475*44/12</f>
        <v>3.4355918841591775E-20</v>
      </c>
      <c r="GO172" s="21">
        <f t="shared" si="187"/>
        <v>0.38224474243950912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5.6843418860808015E-14</v>
      </c>
      <c r="GV172" s="17">
        <f>GU172*VLOOKUP('Données projet'!$B$18,Paramètres!$A$1:$I$89,3,0)*VLOOKUP('Données projet'!$B$18,Paramètres!$A$1:$I$89,5,0)</f>
        <v>4.5224624045658861E-14</v>
      </c>
      <c r="GW172" s="13">
        <f t="shared" si="188"/>
        <v>7.4514601661523691E-13</v>
      </c>
      <c r="GX172" s="20">
        <f t="shared" si="189"/>
        <v>1.3765621991510601E-12</v>
      </c>
      <c r="GY172" s="59">
        <f t="shared" si="137"/>
        <v>293.33333333333468</v>
      </c>
      <c r="GZ172" s="59">
        <f ca="1">AVERAGE(OFFSET($GY$3,0,0,'Données projet'!$E$18+1,1))-AVERAGE(OFFSET($H$3,0,0,'Données projet'!$E$18+1,1))</f>
        <v>199.58763537752952</v>
      </c>
      <c r="HA172" s="59">
        <f t="shared" si="160"/>
        <v>242.62852778451929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0</v>
      </c>
      <c r="HH172" s="21">
        <f>EXP(-LN(2)/25)*HH171+(1-EXP(-LN(2)/25))/(LN(2)/25)*Calculateur!HC172*Calculateur!HE172*VLOOKUP('Données projet'!$B$18,Paramètres!$A$1:$I$89,3,0)*0.475*44/12</f>
        <v>0.21796766214760413</v>
      </c>
      <c r="HI172" s="21">
        <f>EXP(-LN(2)/2)*HI171+(1-EXP(-LN(2)/2))/(LN(2)/2)*HC172*HF172*VLOOKUP('Données projet'!$B$18,Paramètres!$A$1:$I$89,3,0)*0.475*44/12</f>
        <v>1.2891114560608025E-20</v>
      </c>
      <c r="HJ172" s="22">
        <f t="shared" si="190"/>
        <v>0.21796766214760413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-1.0286385077051818E-13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237.22177246688199</v>
      </c>
      <c r="T173" s="59">
        <f t="shared" si="142"/>
        <v>149.27472147904302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6.4036093577686748E-2</v>
      </c>
      <c r="AB173" s="21">
        <f>EXP(-LN(2)/2)*AB172+(1-EXP(-LN(2)/2))/(LN(2)/2)*V173*Y173*VLOOKUP('Données projet'!$B$9,Paramètres!$A$1:$I$89,3,0)*0.475*44/12</f>
        <v>5.242581554718591E-21</v>
      </c>
      <c r="AC173" s="22">
        <f t="shared" si="163"/>
        <v>6.4036093577686748E-2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-1.1527845344971866E-13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279.20364724206644</v>
      </c>
      <c r="AO173" s="59">
        <f t="shared" si="144"/>
        <v>173.99850582760712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7.1764587630166118E-2</v>
      </c>
      <c r="AW173" s="21">
        <f>EXP(-LN(2)/2)*AW172+(1-EXP(-LN(2)/2))/(LN(2)/2)*AQ173*AT173*VLOOKUP('Données projet'!$B$10,Paramètres!$A$1:$I$89,3,0)*0.475*44/12</f>
        <v>5.8753069147708338E-21</v>
      </c>
      <c r="AX173" s="21">
        <f t="shared" si="166"/>
        <v>7.1764587630166118E-2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-5.3205440053716299E-14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215.23235148064941</v>
      </c>
      <c r="BJ173" s="59">
        <f t="shared" si="146"/>
        <v>184.07239726900434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0.19591135011379052</v>
      </c>
      <c r="BQ173" s="21">
        <f>EXP(-LN(2)/25)*BQ172+(1-EXP(-LN(2)/25))/(LN(2)/25)*Calculateur!BL173*Calculateur!BN173*VLOOKUP('Données projet'!$B$11,Paramètres!$A$1:$I$89,3,0)*0.475*44/12</f>
        <v>0.16195855246700855</v>
      </c>
      <c r="BR173" s="21">
        <f>EXP(-LN(2)/2)*BR172+(1-EXP(-LN(2)/2))/(LN(2)/2)*BL173*BO173*VLOOKUP('Données projet'!$B$11,Paramètres!$A$1:$I$89,3,0)*0.475*44/12</f>
        <v>8.3281774220295273E-21</v>
      </c>
      <c r="BS173" s="22">
        <f t="shared" si="169"/>
        <v>0.35786990258079909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-1.223725121235475E-13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303.1504619632214</v>
      </c>
      <c r="CE173" s="59">
        <f t="shared" si="148"/>
        <v>188.09929616366503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7.6180869945868673E-2</v>
      </c>
      <c r="CM173" s="21">
        <f>EXP(-LN(2)/2)*CM172+(1-EXP(-LN(2)/2))/(LN(2)/2)*CG173*CJ173*VLOOKUP('Données projet'!$B$12,Paramètres!$A$1:$I$89,3,0)*0.475*44/12</f>
        <v>6.2368642633721277E-21</v>
      </c>
      <c r="CN173" s="22">
        <f t="shared" si="172"/>
        <v>7.6180869945868673E-2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5.6843418860808015E-14</v>
      </c>
      <c r="CU173" s="17">
        <f>CT173*VLOOKUP('Données projet'!$B$13,Paramètres!$A$1:$I$89,3,0)*VLOOKUP('Données projet'!$B$13,Paramètres!$A$1:$I$89,5,0)</f>
        <v>3.813056537183002E-14</v>
      </c>
      <c r="CV173" s="13">
        <f t="shared" si="173"/>
        <v>6.4086286045526829E-13</v>
      </c>
      <c r="CW173" s="20">
        <f t="shared" si="174"/>
        <v>1.1825802166488628E-12</v>
      </c>
      <c r="CX173" s="59">
        <f t="shared" si="122"/>
        <v>293.33333333333451</v>
      </c>
      <c r="CY173" s="59">
        <f ca="1">AVERAGE(OFFSET($CX$3,0,0,'Données projet'!$E$13+1,1))-AVERAGE(OFFSET($H$3,0,0,'Données projet'!$E$13+1,1))</f>
        <v>156.63226020379989</v>
      </c>
      <c r="CZ173" s="59">
        <f t="shared" si="150"/>
        <v>196.0481096619543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0.17875127398905002</v>
      </c>
      <c r="DH173" s="21">
        <f>EXP(-LN(2)/2)*DH172+(1-EXP(-LN(2)/2))/(LN(2)/2)*DB173*DE173*VLOOKUP('Données projet'!$B$13,Paramètres!$A$1:$I$89,3,0)*0.475*44/12</f>
        <v>7.6855287153513409E-21</v>
      </c>
      <c r="DI173" s="22">
        <f t="shared" si="175"/>
        <v>0.17875127398905002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-8.5265128291212022E-14</v>
      </c>
      <c r="DP173" s="17">
        <f>DO173*VLOOKUP('Données projet'!$B$14,Paramètres!$A$1:$I$89,3,0)*VLOOKUP('Données projet'!$B$14,Paramètres!$A$1:$I$89,5,0)</f>
        <v>-7.7147888077888636E-14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225.28075317732998</v>
      </c>
      <c r="DU173" s="59">
        <f t="shared" si="152"/>
        <v>358.43407531256207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0.1402202553206903</v>
      </c>
      <c r="EB173" s="21">
        <f>EXP(-LN(2)/25)*EB172+(1-EXP(-LN(2)/25))/(LN(2)/25)*Calculateur!DW173*Calculateur!DY173*VLOOKUP('Données projet'!$B$14,Paramètres!$A$1:$I$89,3,0)*0.475*44/12</f>
        <v>0.17054756605785254</v>
      </c>
      <c r="EC173" s="21">
        <f>EXP(-LN(2)/2)*EC172+(1-EXP(-LN(2)/2))/(LN(2)/2)*DW173*DZ173*VLOOKUP('Données projet'!$B$14,Paramètres!$A$1:$I$89,3,0)*0.475*44/12</f>
        <v>3.7388213142553485E-21</v>
      </c>
      <c r="ED173" s="22">
        <f t="shared" si="178"/>
        <v>0.31076782137854286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-5.6843418860808015E-13</v>
      </c>
      <c r="EK173" s="17">
        <f>EJ173*VLOOKUP('Données projet'!$B$15,Paramètres!$A$1:$I$89,3,0)*VLOOKUP('Données projet'!$B$15,Paramètres!$A$1:$I$89,5,0)</f>
        <v>-3.177547114319168E-13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326.31232746914907</v>
      </c>
      <c r="EP173" s="59">
        <f t="shared" si="154"/>
        <v>330.17137761430297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0.28549656927741923</v>
      </c>
      <c r="EW173" s="21">
        <f>EXP(-LN(2)/25)*EW172+(1-EXP(-LN(2)/25))/(LN(2)/25)*Calculateur!ER173*Calculateur!ET173*VLOOKUP('Données projet'!$B$15,Paramètres!$A$1:$I$89,3,0)*0.475*44/12</f>
        <v>0.62208506143240905</v>
      </c>
      <c r="EX173" s="21">
        <f>EXP(-LN(2)/2)*EX172+(1-EXP(-LN(2)/2))/(LN(2)/2)*ER173*EU173*VLOOKUP('Données projet'!$B$15,Paramètres!$A$1:$I$89,3,0)*0.475*44/12</f>
        <v>2.7547280363274569E-20</v>
      </c>
      <c r="EY173" s="22">
        <f t="shared" si="181"/>
        <v>0.90758163070982834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255.41017495879987</v>
      </c>
      <c r="FK173" s="59">
        <f t="shared" si="156"/>
        <v>297.50513563712764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0.52149901872238902</v>
      </c>
      <c r="FR173" s="21">
        <f>EXP(-LN(2)/25)*FR172+(1-EXP(-LN(2)/25))/(LN(2)/25)*Calculateur!FM173*Calculateur!FO173*VLOOKUP('Données projet'!$B$16,Paramètres!$A$1:$I$89,3,0)*0.475*44/12</f>
        <v>0.5746017330523997</v>
      </c>
      <c r="FS173" s="21">
        <f>EXP(-LN(2)/2)*FS172+(1-EXP(-LN(2)/2))/(LN(2)/2)*FM173*FP173*VLOOKUP('Données projet'!$B$16,Paramètres!$A$1:$I$89,3,0)*0.475*44/12</f>
        <v>2.0668612845213981E-20</v>
      </c>
      <c r="FT173" s="22">
        <f t="shared" si="184"/>
        <v>1.0961007517747887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1.1368683772161603E-13</v>
      </c>
      <c r="GA173" s="17">
        <f>FZ173*VLOOKUP('Données projet'!$B$17,Paramètres!$A$1:$I$89,3,0)*VLOOKUP('Données projet'!$B$17,Paramètres!$A$1:$I$89,5,0)</f>
        <v>6.7984728957526396E-14</v>
      </c>
      <c r="GB173" s="13">
        <f t="shared" si="185"/>
        <v>1.0682447123141398E-12</v>
      </c>
      <c r="GC173" s="20">
        <f t="shared" si="186"/>
        <v>1.978932943548152E-12</v>
      </c>
      <c r="GD173" s="59">
        <f t="shared" si="134"/>
        <v>293.3333333333353</v>
      </c>
      <c r="GE173" s="59">
        <f ca="1">AVERAGE(OFFSET($GD$3,0,0,'Données projet'!$E$17+1,1))-AVERAGE(OFFSET($H$3,0,0,'Données projet'!$E$17+1,1))</f>
        <v>259.30247982593914</v>
      </c>
      <c r="GF173" s="59">
        <f t="shared" si="158"/>
        <v>275.24740346220779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</v>
      </c>
      <c r="GM173" s="21">
        <f>EXP(-LN(2)/25)*GM172+(1-EXP(-LN(2)/25))/(LN(2)/25)*Calculateur!GH173*Calculateur!GJ173*VLOOKUP('Données projet'!$B$17,Paramètres!$A$1:$I$89,3,0)*0.475*44/12</f>
        <v>0.37179223985612336</v>
      </c>
      <c r="GN173" s="21">
        <f>EXP(-LN(2)/2)*GN172+(1-EXP(-LN(2)/2))/(LN(2)/2)*GH173*GK173*VLOOKUP('Données projet'!$B$17,Paramètres!$A$1:$I$89,3,0)*0.475*44/12</f>
        <v>2.4293303186784221E-20</v>
      </c>
      <c r="GO173" s="21">
        <f t="shared" si="187"/>
        <v>0.37179223985612336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5.6843418860808015E-14</v>
      </c>
      <c r="GV173" s="17">
        <f>GU173*VLOOKUP('Données projet'!$B$18,Paramètres!$A$1:$I$89,3,0)*VLOOKUP('Données projet'!$B$18,Paramètres!$A$1:$I$89,5,0)</f>
        <v>4.5224624045658861E-14</v>
      </c>
      <c r="GW173" s="13">
        <f t="shared" si="188"/>
        <v>7.4514601661523691E-13</v>
      </c>
      <c r="GX173" s="20">
        <f t="shared" si="189"/>
        <v>1.3765621991510601E-12</v>
      </c>
      <c r="GY173" s="59">
        <f t="shared" si="137"/>
        <v>293.33333333333468</v>
      </c>
      <c r="GZ173" s="59">
        <f ca="1">AVERAGE(OFFSET($GY$3,0,0,'Données projet'!$E$18+1,1))-AVERAGE(OFFSET($H$3,0,0,'Données projet'!$E$18+1,1))</f>
        <v>199.58763537752952</v>
      </c>
      <c r="HA173" s="59">
        <f t="shared" si="160"/>
        <v>242.62852778451929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0</v>
      </c>
      <c r="HH173" s="21">
        <f>EXP(-LN(2)/25)*HH172+(1-EXP(-LN(2)/25))/(LN(2)/25)*Calculateur!HC173*Calculateur!HE173*VLOOKUP('Données projet'!$B$18,Paramètres!$A$1:$I$89,3,0)*0.475*44/12</f>
        <v>0.21200732496375671</v>
      </c>
      <c r="HI173" s="21">
        <f>EXP(-LN(2)/2)*HI172+(1-EXP(-LN(2)/2))/(LN(2)/2)*HC173*HF173*VLOOKUP('Données projet'!$B$18,Paramètres!$A$1:$I$89,3,0)*0.475*44/12</f>
        <v>9.1153945228585756E-21</v>
      </c>
      <c r="HJ173" s="22">
        <f t="shared" si="190"/>
        <v>0.21200732496375671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-1.0286385077051818E-13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237.22177246688199</v>
      </c>
      <c r="T174" s="59">
        <f t="shared" si="142"/>
        <v>149.27472147904302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6.2285023231293098E-2</v>
      </c>
      <c r="AB174" s="21">
        <f>EXP(-LN(2)/2)*AB173+(1-EXP(-LN(2)/2))/(LN(2)/2)*V174*Y174*VLOOKUP('Données projet'!$B$9,Paramètres!$A$1:$I$89,3,0)*0.475*44/12</f>
        <v>3.7070649682650288E-21</v>
      </c>
      <c r="AC174" s="22">
        <f t="shared" si="163"/>
        <v>6.2285023231293098E-2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-1.1527845344971866E-13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279.20364724206644</v>
      </c>
      <c r="AO174" s="59">
        <f t="shared" si="144"/>
        <v>173.99850582760712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6.9802181207483577E-2</v>
      </c>
      <c r="AW174" s="21">
        <f>EXP(-LN(2)/2)*AW173+(1-EXP(-LN(2)/2))/(LN(2)/2)*AQ174*AT174*VLOOKUP('Données projet'!$B$10,Paramètres!$A$1:$I$89,3,0)*0.475*44/12</f>
        <v>4.1544693609866696E-21</v>
      </c>
      <c r="AX174" s="21">
        <f t="shared" si="166"/>
        <v>6.9802181207483577E-2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-5.3205440053716299E-14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215.23235148064941</v>
      </c>
      <c r="BJ174" s="59">
        <f t="shared" si="146"/>
        <v>184.07239726900434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0.1920696480321836</v>
      </c>
      <c r="BQ174" s="21">
        <f>EXP(-LN(2)/25)*BQ173+(1-EXP(-LN(2)/25))/(LN(2)/25)*Calculateur!BL174*Calculateur!BN174*VLOOKUP('Données projet'!$B$11,Paramètres!$A$1:$I$89,3,0)*0.475*44/12</f>
        <v>0.1575297873327681</v>
      </c>
      <c r="BR174" s="21">
        <f>EXP(-LN(2)/2)*BR173+(1-EXP(-LN(2)/2))/(LN(2)/2)*BL174*BO174*VLOOKUP('Données projet'!$B$11,Paramètres!$A$1:$I$89,3,0)*0.475*44/12</f>
        <v>5.8889107300417785E-21</v>
      </c>
      <c r="BS174" s="22">
        <f t="shared" si="169"/>
        <v>0.34959943536495169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-1.223725121235475E-13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303.1504619632214</v>
      </c>
      <c r="CE174" s="59">
        <f t="shared" si="148"/>
        <v>188.09929616366503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7.4097700051021051E-2</v>
      </c>
      <c r="CM174" s="21">
        <f>EXP(-LN(2)/2)*CM173+(1-EXP(-LN(2)/2))/(LN(2)/2)*CG174*CJ174*VLOOKUP('Données projet'!$B$12,Paramètres!$A$1:$I$89,3,0)*0.475*44/12</f>
        <v>4.4101290139704729E-21</v>
      </c>
      <c r="CN174" s="22">
        <f t="shared" si="172"/>
        <v>7.4097700051021051E-2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5.6843418860808015E-14</v>
      </c>
      <c r="CU174" s="17">
        <f>CT174*VLOOKUP('Données projet'!$B$13,Paramètres!$A$1:$I$89,3,0)*VLOOKUP('Données projet'!$B$13,Paramètres!$A$1:$I$89,5,0)</f>
        <v>3.813056537183002E-14</v>
      </c>
      <c r="CV174" s="13">
        <f t="shared" si="173"/>
        <v>6.4086286045526829E-13</v>
      </c>
      <c r="CW174" s="20">
        <f t="shared" si="174"/>
        <v>1.1825802166488628E-12</v>
      </c>
      <c r="CX174" s="59">
        <f t="shared" si="122"/>
        <v>293.33333333333451</v>
      </c>
      <c r="CY174" s="59">
        <f ca="1">AVERAGE(OFFSET($CX$3,0,0,'Données projet'!$E$13+1,1))-AVERAGE(OFFSET($H$3,0,0,'Données projet'!$E$13+1,1))</f>
        <v>156.63226020379989</v>
      </c>
      <c r="CZ174" s="59">
        <f t="shared" si="150"/>
        <v>196.0481096619543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0.1738633110016985</v>
      </c>
      <c r="DH174" s="21">
        <f>EXP(-LN(2)/2)*DH173+(1-EXP(-LN(2)/2))/(LN(2)/2)*DB174*DE174*VLOOKUP('Données projet'!$B$13,Paramètres!$A$1:$I$89,3,0)*0.475*44/12</f>
        <v>5.4344894716288683E-21</v>
      </c>
      <c r="DI174" s="22">
        <f t="shared" si="175"/>
        <v>0.1738633110016985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-8.5265128291212022E-14</v>
      </c>
      <c r="DP174" s="17">
        <f>DO174*VLOOKUP('Données projet'!$B$14,Paramètres!$A$1:$I$89,3,0)*VLOOKUP('Données projet'!$B$14,Paramètres!$A$1:$I$89,5,0)</f>
        <v>-7.7147888077888636E-14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225.28075317732998</v>
      </c>
      <c r="DU174" s="59">
        <f t="shared" si="152"/>
        <v>358.43407531256207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0.13747062163976231</v>
      </c>
      <c r="EB174" s="21">
        <f>EXP(-LN(2)/25)*EB173+(1-EXP(-LN(2)/25))/(LN(2)/25)*Calculateur!DW174*Calculateur!DY174*VLOOKUP('Données projet'!$B$14,Paramètres!$A$1:$I$89,3,0)*0.475*44/12</f>
        <v>0.16588393389529385</v>
      </c>
      <c r="EC174" s="21">
        <f>EXP(-LN(2)/2)*EC173+(1-EXP(-LN(2)/2))/(LN(2)/2)*DW174*DZ174*VLOOKUP('Données projet'!$B$14,Paramètres!$A$1:$I$89,3,0)*0.475*44/12</f>
        <v>2.6437459049547567E-21</v>
      </c>
      <c r="ED174" s="22">
        <f t="shared" si="178"/>
        <v>0.30335455553505619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-5.6843418860808015E-13</v>
      </c>
      <c r="EK174" s="17">
        <f>EJ174*VLOOKUP('Données projet'!$B$15,Paramètres!$A$1:$I$89,3,0)*VLOOKUP('Données projet'!$B$15,Paramètres!$A$1:$I$89,5,0)</f>
        <v>-3.177547114319168E-13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326.31232746914907</v>
      </c>
      <c r="EP174" s="59">
        <f t="shared" si="154"/>
        <v>330.17137761430297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0.2798981556896018</v>
      </c>
      <c r="EW174" s="21">
        <f>EXP(-LN(2)/25)*EW173+(1-EXP(-LN(2)/25))/(LN(2)/25)*Calculateur!ER174*Calculateur!ET174*VLOOKUP('Données projet'!$B$15,Paramètres!$A$1:$I$89,3,0)*0.475*44/12</f>
        <v>0.60507411271350819</v>
      </c>
      <c r="EX174" s="21">
        <f>EXP(-LN(2)/2)*EX173+(1-EXP(-LN(2)/2))/(LN(2)/2)*ER174*EU174*VLOOKUP('Données projet'!$B$15,Paramètres!$A$1:$I$89,3,0)*0.475*44/12</f>
        <v>1.9478868748118468E-20</v>
      </c>
      <c r="EY174" s="22">
        <f t="shared" si="181"/>
        <v>0.88497226840311005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255.41017495879987</v>
      </c>
      <c r="FK174" s="59">
        <f t="shared" si="156"/>
        <v>297.50513563712764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0.51127274104823628</v>
      </c>
      <c r="FR174" s="21">
        <f>EXP(-LN(2)/25)*FR173+(1-EXP(-LN(2)/25))/(LN(2)/25)*Calculateur!FM174*Calculateur!FO174*VLOOKUP('Données projet'!$B$16,Paramètres!$A$1:$I$89,3,0)*0.475*44/12</f>
        <v>0.55888921844508999</v>
      </c>
      <c r="FS174" s="21">
        <f>EXP(-LN(2)/2)*FS173+(1-EXP(-LN(2)/2))/(LN(2)/2)*FM174*FP174*VLOOKUP('Données projet'!$B$16,Paramètres!$A$1:$I$89,3,0)*0.475*44/12</f>
        <v>1.4614916300570188E-20</v>
      </c>
      <c r="FT174" s="22">
        <f t="shared" si="184"/>
        <v>1.0701619594933263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1.1368683772161603E-13</v>
      </c>
      <c r="GA174" s="17">
        <f>FZ174*VLOOKUP('Données projet'!$B$17,Paramètres!$A$1:$I$89,3,0)*VLOOKUP('Données projet'!$B$17,Paramètres!$A$1:$I$89,5,0)</f>
        <v>6.7984728957526396E-14</v>
      </c>
      <c r="GB174" s="13">
        <f t="shared" si="185"/>
        <v>1.0682447123141398E-12</v>
      </c>
      <c r="GC174" s="20">
        <f t="shared" si="186"/>
        <v>1.978932943548152E-12</v>
      </c>
      <c r="GD174" s="59">
        <f t="shared" si="134"/>
        <v>293.3333333333353</v>
      </c>
      <c r="GE174" s="59">
        <f ca="1">AVERAGE(OFFSET($GD$3,0,0,'Données projet'!$E$17+1,1))-AVERAGE(OFFSET($H$3,0,0,'Données projet'!$E$17+1,1))</f>
        <v>259.30247982593914</v>
      </c>
      <c r="GF174" s="59">
        <f t="shared" si="158"/>
        <v>275.24740346220779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</v>
      </c>
      <c r="GM174" s="21">
        <f>EXP(-LN(2)/25)*GM173+(1-EXP(-LN(2)/25))/(LN(2)/25)*Calculateur!GH174*Calculateur!GJ174*VLOOKUP('Données projet'!$B$17,Paramètres!$A$1:$I$89,3,0)*0.475*44/12</f>
        <v>0.36162556150555353</v>
      </c>
      <c r="GN174" s="21">
        <f>EXP(-LN(2)/2)*GN173+(1-EXP(-LN(2)/2))/(LN(2)/2)*GH174*GK174*VLOOKUP('Données projet'!$B$17,Paramètres!$A$1:$I$89,3,0)*0.475*44/12</f>
        <v>1.7177959420795888E-20</v>
      </c>
      <c r="GO174" s="21">
        <f t="shared" si="187"/>
        <v>0.36162556150555353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5.6843418860808015E-14</v>
      </c>
      <c r="GV174" s="17">
        <f>GU174*VLOOKUP('Données projet'!$B$18,Paramètres!$A$1:$I$89,3,0)*VLOOKUP('Données projet'!$B$18,Paramètres!$A$1:$I$89,5,0)</f>
        <v>4.5224624045658861E-14</v>
      </c>
      <c r="GW174" s="13">
        <f t="shared" si="188"/>
        <v>7.4514601661523691E-13</v>
      </c>
      <c r="GX174" s="20">
        <f t="shared" si="189"/>
        <v>1.3765621991510601E-12</v>
      </c>
      <c r="GY174" s="59">
        <f t="shared" si="137"/>
        <v>293.33333333333468</v>
      </c>
      <c r="GZ174" s="59">
        <f ca="1">AVERAGE(OFFSET($GY$3,0,0,'Données projet'!$E$18+1,1))-AVERAGE(OFFSET($H$3,0,0,'Données projet'!$E$18+1,1))</f>
        <v>199.58763537752952</v>
      </c>
      <c r="HA174" s="59">
        <f t="shared" si="160"/>
        <v>242.62852778451929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0</v>
      </c>
      <c r="HH174" s="21">
        <f>EXP(-LN(2)/25)*HH173+(1-EXP(-LN(2)/25))/(LN(2)/25)*Calculateur!HC174*Calculateur!HE174*VLOOKUP('Données projet'!$B$18,Paramètres!$A$1:$I$89,3,0)*0.475*44/12</f>
        <v>0.20620997351364212</v>
      </c>
      <c r="HI174" s="21">
        <f>EXP(-LN(2)/2)*HI173+(1-EXP(-LN(2)/2))/(LN(2)/2)*HC174*HF174*VLOOKUP('Données projet'!$B$18,Paramètres!$A$1:$I$89,3,0)*0.475*44/12</f>
        <v>6.4455572803040127E-21</v>
      </c>
      <c r="HJ174" s="22">
        <f t="shared" si="190"/>
        <v>0.20620997351364212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-1.0286385077051818E-13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237.22177246688199</v>
      </c>
      <c r="T175" s="59">
        <f t="shared" si="142"/>
        <v>149.27472147904302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6.0581835995606369E-2</v>
      </c>
      <c r="AB175" s="21">
        <f>EXP(-LN(2)/2)*AB174+(1-EXP(-LN(2)/2))/(LN(2)/2)*V175*Y175*VLOOKUP('Données projet'!$B$9,Paramètres!$A$1:$I$89,3,0)*0.475*44/12</f>
        <v>2.6212907773592955E-21</v>
      </c>
      <c r="AC175" s="22">
        <f t="shared" si="163"/>
        <v>6.0581835995606369E-2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-1.1527845344971866E-13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279.20364724206644</v>
      </c>
      <c r="AO175" s="59">
        <f t="shared" si="144"/>
        <v>173.99850582760712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6.7893436891627759E-2</v>
      </c>
      <c r="AW175" s="21">
        <f>EXP(-LN(2)/2)*AW174+(1-EXP(-LN(2)/2))/(LN(2)/2)*AQ175*AT175*VLOOKUP('Données projet'!$B$10,Paramètres!$A$1:$I$89,3,0)*0.475*44/12</f>
        <v>2.9376534573854169E-21</v>
      </c>
      <c r="AX175" s="21">
        <f t="shared" si="166"/>
        <v>6.7893436891627759E-2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-5.3205440053716299E-14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215.23235148064941</v>
      </c>
      <c r="BJ175" s="59">
        <f t="shared" si="146"/>
        <v>184.07239726900434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0.18830327938519009</v>
      </c>
      <c r="BQ175" s="21">
        <f>EXP(-LN(2)/25)*BQ174+(1-EXP(-LN(2)/25))/(LN(2)/25)*Calculateur!BL175*Calculateur!BN175*VLOOKUP('Données projet'!$B$11,Paramètres!$A$1:$I$89,3,0)*0.475*44/12</f>
        <v>0.15322212701402207</v>
      </c>
      <c r="BR175" s="21">
        <f>EXP(-LN(2)/2)*BR174+(1-EXP(-LN(2)/2))/(LN(2)/2)*BL175*BO175*VLOOKUP('Données projet'!$B$11,Paramètres!$A$1:$I$89,3,0)*0.475*44/12</f>
        <v>4.1640887110147636E-21</v>
      </c>
      <c r="BS175" s="22">
        <f t="shared" si="169"/>
        <v>0.34152540639921214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-1.223725121235475E-13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303.1504619632214</v>
      </c>
      <c r="CE175" s="59">
        <f t="shared" si="148"/>
        <v>188.09929616366503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7.2071494546497181E-2</v>
      </c>
      <c r="CM175" s="21">
        <f>EXP(-LN(2)/2)*CM174+(1-EXP(-LN(2)/2))/(LN(2)/2)*CG175*CJ175*VLOOKUP('Données projet'!$B$12,Paramètres!$A$1:$I$89,3,0)*0.475*44/12</f>
        <v>3.1184321316860639E-21</v>
      </c>
      <c r="CN175" s="22">
        <f t="shared" si="172"/>
        <v>7.2071494546497181E-2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5.6843418860808015E-14</v>
      </c>
      <c r="CU175" s="17">
        <f>CT175*VLOOKUP('Données projet'!$B$13,Paramètres!$A$1:$I$89,3,0)*VLOOKUP('Données projet'!$B$13,Paramètres!$A$1:$I$89,5,0)</f>
        <v>3.813056537183002E-14</v>
      </c>
      <c r="CV175" s="13">
        <f t="shared" si="173"/>
        <v>6.4086286045526829E-13</v>
      </c>
      <c r="CW175" s="20">
        <f t="shared" si="174"/>
        <v>1.1825802166488628E-12</v>
      </c>
      <c r="CX175" s="59">
        <f t="shared" si="122"/>
        <v>293.33333333333451</v>
      </c>
      <c r="CY175" s="59">
        <f ca="1">AVERAGE(OFFSET($CX$3,0,0,'Données projet'!$E$13+1,1))-AVERAGE(OFFSET($H$3,0,0,'Données projet'!$E$13+1,1))</f>
        <v>156.63226020379989</v>
      </c>
      <c r="CZ175" s="59">
        <f t="shared" si="150"/>
        <v>196.0481096619543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0.16910900961928291</v>
      </c>
      <c r="DH175" s="21">
        <f>EXP(-LN(2)/2)*DH174+(1-EXP(-LN(2)/2))/(LN(2)/2)*DB175*DE175*VLOOKUP('Données projet'!$B$13,Paramètres!$A$1:$I$89,3,0)*0.475*44/12</f>
        <v>3.8427643576756704E-21</v>
      </c>
      <c r="DI175" s="22">
        <f t="shared" si="175"/>
        <v>0.16910900961928291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-8.5265128291212022E-14</v>
      </c>
      <c r="DP175" s="17">
        <f>DO175*VLOOKUP('Données projet'!$B$14,Paramètres!$A$1:$I$89,3,0)*VLOOKUP('Données projet'!$B$14,Paramètres!$A$1:$I$89,5,0)</f>
        <v>-7.7147888077888636E-14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225.28075317732998</v>
      </c>
      <c r="DU175" s="59">
        <f t="shared" si="152"/>
        <v>358.43407531256207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0.1347749065982064</v>
      </c>
      <c r="EB175" s="21">
        <f>EXP(-LN(2)/25)*EB174+(1-EXP(-LN(2)/25))/(LN(2)/25)*Calculateur!DW175*Calculateur!DY175*VLOOKUP('Données projet'!$B$14,Paramètres!$A$1:$I$89,3,0)*0.475*44/12</f>
        <v>0.16134782899947009</v>
      </c>
      <c r="EC175" s="21">
        <f>EXP(-LN(2)/2)*EC174+(1-EXP(-LN(2)/2))/(LN(2)/2)*DW175*DZ175*VLOOKUP('Données projet'!$B$14,Paramètres!$A$1:$I$89,3,0)*0.475*44/12</f>
        <v>1.8694106571276742E-21</v>
      </c>
      <c r="ED175" s="22">
        <f t="shared" si="178"/>
        <v>0.29612273559767649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-5.6843418860808015E-13</v>
      </c>
      <c r="EK175" s="17">
        <f>EJ175*VLOOKUP('Données projet'!$B$15,Paramètres!$A$1:$I$89,3,0)*VLOOKUP('Données projet'!$B$15,Paramètres!$A$1:$I$89,5,0)</f>
        <v>-3.177547114319168E-13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326.31232746914907</v>
      </c>
      <c r="EP175" s="59">
        <f t="shared" si="154"/>
        <v>330.17137761430297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0.27440952357754639</v>
      </c>
      <c r="EW175" s="21">
        <f>EXP(-LN(2)/25)*EW174+(1-EXP(-LN(2)/25))/(LN(2)/25)*Calculateur!ER175*Calculateur!ET175*VLOOKUP('Données projet'!$B$15,Paramètres!$A$1:$I$89,3,0)*0.475*44/12</f>
        <v>0.58852832928189269</v>
      </c>
      <c r="EX175" s="21">
        <f>EXP(-LN(2)/2)*EX174+(1-EXP(-LN(2)/2))/(LN(2)/2)*ER175*EU175*VLOOKUP('Données projet'!$B$15,Paramètres!$A$1:$I$89,3,0)*0.475*44/12</f>
        <v>1.3773640181637284E-20</v>
      </c>
      <c r="EY175" s="22">
        <f t="shared" si="181"/>
        <v>0.86293785285943914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255.41017495879987</v>
      </c>
      <c r="FK175" s="59">
        <f t="shared" si="156"/>
        <v>297.50513563712764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0.50124699444186016</v>
      </c>
      <c r="FR175" s="21">
        <f>EXP(-LN(2)/25)*FR174+(1-EXP(-LN(2)/25))/(LN(2)/25)*Calculateur!FM175*Calculateur!FO175*VLOOKUP('Données projet'!$B$16,Paramètres!$A$1:$I$89,3,0)*0.475*44/12</f>
        <v>0.54360636337600232</v>
      </c>
      <c r="FS175" s="21">
        <f>EXP(-LN(2)/2)*FS174+(1-EXP(-LN(2)/2))/(LN(2)/2)*FM175*FP175*VLOOKUP('Données projet'!$B$16,Paramètres!$A$1:$I$89,3,0)*0.475*44/12</f>
        <v>1.0334306422606991E-20</v>
      </c>
      <c r="FT175" s="22">
        <f t="shared" si="184"/>
        <v>1.0448533578178625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1.1368683772161603E-13</v>
      </c>
      <c r="GA175" s="17">
        <f>FZ175*VLOOKUP('Données projet'!$B$17,Paramètres!$A$1:$I$89,3,0)*VLOOKUP('Données projet'!$B$17,Paramètres!$A$1:$I$89,5,0)</f>
        <v>6.7984728957526396E-14</v>
      </c>
      <c r="GB175" s="13">
        <f t="shared" si="185"/>
        <v>1.0682447123141398E-12</v>
      </c>
      <c r="GC175" s="20">
        <f t="shared" si="186"/>
        <v>1.978932943548152E-12</v>
      </c>
      <c r="GD175" s="59">
        <f t="shared" si="134"/>
        <v>293.3333333333353</v>
      </c>
      <c r="GE175" s="59">
        <f ca="1">AVERAGE(OFFSET($GD$3,0,0,'Données projet'!$E$17+1,1))-AVERAGE(OFFSET($H$3,0,0,'Données projet'!$E$17+1,1))</f>
        <v>259.30247982593914</v>
      </c>
      <c r="GF175" s="59">
        <f t="shared" si="158"/>
        <v>275.24740346220779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</v>
      </c>
      <c r="GM175" s="21">
        <f>EXP(-LN(2)/25)*GM174+(1-EXP(-LN(2)/25))/(LN(2)/25)*Calculateur!GH175*Calculateur!GJ175*VLOOKUP('Données projet'!$B$17,Paramètres!$A$1:$I$89,3,0)*0.475*44/12</f>
        <v>0.35173689150912241</v>
      </c>
      <c r="GN175" s="21">
        <f>EXP(-LN(2)/2)*GN174+(1-EXP(-LN(2)/2))/(LN(2)/2)*GH175*GK175*VLOOKUP('Données projet'!$B$17,Paramètres!$A$1:$I$89,3,0)*0.475*44/12</f>
        <v>1.2146651593392111E-20</v>
      </c>
      <c r="GO175" s="21">
        <f t="shared" si="187"/>
        <v>0.35173689150912241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5.6843418860808015E-14</v>
      </c>
      <c r="GV175" s="17">
        <f>GU175*VLOOKUP('Données projet'!$B$18,Paramètres!$A$1:$I$89,3,0)*VLOOKUP('Données projet'!$B$18,Paramètres!$A$1:$I$89,5,0)</f>
        <v>4.5224624045658861E-14</v>
      </c>
      <c r="GW175" s="13">
        <f t="shared" si="188"/>
        <v>7.4514601661523691E-13</v>
      </c>
      <c r="GX175" s="20">
        <f t="shared" si="189"/>
        <v>1.3765621991510601E-12</v>
      </c>
      <c r="GY175" s="59">
        <f t="shared" si="137"/>
        <v>293.33333333333468</v>
      </c>
      <c r="GZ175" s="59">
        <f ca="1">AVERAGE(OFFSET($GY$3,0,0,'Données projet'!$E$18+1,1))-AVERAGE(OFFSET($H$3,0,0,'Données projet'!$E$18+1,1))</f>
        <v>199.58763537752952</v>
      </c>
      <c r="HA175" s="59">
        <f t="shared" si="160"/>
        <v>242.62852778451929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0</v>
      </c>
      <c r="HH175" s="21">
        <f>EXP(-LN(2)/25)*HH174+(1-EXP(-LN(2)/25))/(LN(2)/25)*Calculateur!HC175*Calculateur!HE175*VLOOKUP('Données projet'!$B$18,Paramètres!$A$1:$I$89,3,0)*0.475*44/12</f>
        <v>0.20057115094380037</v>
      </c>
      <c r="HI175" s="21">
        <f>EXP(-LN(2)/2)*HI174+(1-EXP(-LN(2)/2))/(LN(2)/2)*HC175*HF175*VLOOKUP('Données projet'!$B$18,Paramètres!$A$1:$I$89,3,0)*0.475*44/12</f>
        <v>4.5576972614292878E-21</v>
      </c>
      <c r="HJ175" s="22">
        <f t="shared" si="190"/>
        <v>0.20057115094380037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-1.0286385077051818E-13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237.22177246688199</v>
      </c>
      <c r="T176" s="59">
        <f t="shared" si="142"/>
        <v>149.27472147904302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5.892522250444622E-2</v>
      </c>
      <c r="AB176" s="21">
        <f>EXP(-LN(2)/2)*AB175+(1-EXP(-LN(2)/2))/(LN(2)/2)*V176*Y176*VLOOKUP('Données projet'!$B$9,Paramètres!$A$1:$I$89,3,0)*0.475*44/12</f>
        <v>1.8535324841325144E-21</v>
      </c>
      <c r="AC176" s="22">
        <f t="shared" si="163"/>
        <v>5.892522250444622E-2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-1.1527845344971866E-13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279.20364724206644</v>
      </c>
      <c r="AO176" s="59">
        <f t="shared" si="144"/>
        <v>173.99850582760712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6.6036887289465523E-2</v>
      </c>
      <c r="AW176" s="21">
        <f>EXP(-LN(2)/2)*AW175+(1-EXP(-LN(2)/2))/(LN(2)/2)*AQ176*AT176*VLOOKUP('Données projet'!$B$10,Paramètres!$A$1:$I$89,3,0)*0.475*44/12</f>
        <v>2.0772346804933348E-21</v>
      </c>
      <c r="AX176" s="21">
        <f t="shared" si="166"/>
        <v>6.6036887289465523E-2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-5.3205440053716299E-14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215.23235148064941</v>
      </c>
      <c r="BJ176" s="59">
        <f t="shared" si="146"/>
        <v>184.07239726900434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0.18461076693010608</v>
      </c>
      <c r="BQ176" s="21">
        <f>EXP(-LN(2)/25)*BQ175+(1-EXP(-LN(2)/25))/(LN(2)/25)*Calculateur!BL176*Calculateur!BN176*VLOOKUP('Données projet'!$B$11,Paramètres!$A$1:$I$89,3,0)*0.475*44/12</f>
        <v>0.14903225989322216</v>
      </c>
      <c r="BR176" s="21">
        <f>EXP(-LN(2)/2)*BR175+(1-EXP(-LN(2)/2))/(LN(2)/2)*BL176*BO176*VLOOKUP('Données projet'!$B$11,Paramètres!$A$1:$I$89,3,0)*0.475*44/12</f>
        <v>2.9444553650208892E-21</v>
      </c>
      <c r="BS176" s="22">
        <f t="shared" si="169"/>
        <v>0.33364302682332825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-1.223725121235475E-13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303.1504619632214</v>
      </c>
      <c r="CE176" s="59">
        <f t="shared" si="148"/>
        <v>188.09929616366503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7.0100695738048044E-2</v>
      </c>
      <c r="CM176" s="21">
        <f>EXP(-LN(2)/2)*CM175+(1-EXP(-LN(2)/2))/(LN(2)/2)*CG176*CJ176*VLOOKUP('Données projet'!$B$12,Paramètres!$A$1:$I$89,3,0)*0.475*44/12</f>
        <v>2.2050645069852365E-21</v>
      </c>
      <c r="CN176" s="22">
        <f t="shared" si="172"/>
        <v>7.0100695738048044E-2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5.6843418860808015E-14</v>
      </c>
      <c r="CU176" s="17">
        <f>CT176*VLOOKUP('Données projet'!$B$13,Paramètres!$A$1:$I$89,3,0)*VLOOKUP('Données projet'!$B$13,Paramètres!$A$1:$I$89,5,0)</f>
        <v>3.813056537183002E-14</v>
      </c>
      <c r="CV176" s="13">
        <f t="shared" si="173"/>
        <v>6.4086286045526829E-13</v>
      </c>
      <c r="CW176" s="20">
        <f t="shared" si="174"/>
        <v>1.1825802166488628E-12</v>
      </c>
      <c r="CX176" s="59">
        <f t="shared" si="122"/>
        <v>293.33333333333451</v>
      </c>
      <c r="CY176" s="59">
        <f ca="1">AVERAGE(OFFSET($CX$3,0,0,'Données projet'!$E$13+1,1))-AVERAGE(OFFSET($H$3,0,0,'Données projet'!$E$13+1,1))</f>
        <v>156.63226020379989</v>
      </c>
      <c r="CZ176" s="59">
        <f t="shared" si="150"/>
        <v>196.0481096619543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0.1644847148581873</v>
      </c>
      <c r="DH176" s="21">
        <f>EXP(-LN(2)/2)*DH175+(1-EXP(-LN(2)/2))/(LN(2)/2)*DB176*DE176*VLOOKUP('Données projet'!$B$13,Paramètres!$A$1:$I$89,3,0)*0.475*44/12</f>
        <v>2.7172447358144341E-21</v>
      </c>
      <c r="DI176" s="22">
        <f t="shared" si="175"/>
        <v>0.1644847148581873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-8.5265128291212022E-14</v>
      </c>
      <c r="DP176" s="17">
        <f>DO176*VLOOKUP('Données projet'!$B$14,Paramètres!$A$1:$I$89,3,0)*VLOOKUP('Données projet'!$B$14,Paramètres!$A$1:$I$89,5,0)</f>
        <v>-7.7147888077888636E-14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225.28075317732998</v>
      </c>
      <c r="DU176" s="59">
        <f t="shared" si="152"/>
        <v>358.43407531256207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0.13213205288439156</v>
      </c>
      <c r="EB176" s="21">
        <f>EXP(-LN(2)/25)*EB175+(1-EXP(-LN(2)/25))/(LN(2)/25)*Calculateur!DW176*Calculateur!DY176*VLOOKUP('Données projet'!$B$14,Paramètres!$A$1:$I$89,3,0)*0.475*44/12</f>
        <v>0.15693576413056601</v>
      </c>
      <c r="EC176" s="21">
        <f>EXP(-LN(2)/2)*EC175+(1-EXP(-LN(2)/2))/(LN(2)/2)*DW176*DZ176*VLOOKUP('Données projet'!$B$14,Paramètres!$A$1:$I$89,3,0)*0.475*44/12</f>
        <v>1.3218729524773784E-21</v>
      </c>
      <c r="ED176" s="22">
        <f t="shared" si="178"/>
        <v>0.28906781701495754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-5.6843418860808015E-13</v>
      </c>
      <c r="EK176" s="17">
        <f>EJ176*VLOOKUP('Données projet'!$B$15,Paramètres!$A$1:$I$89,3,0)*VLOOKUP('Données projet'!$B$15,Paramètres!$A$1:$I$89,5,0)</f>
        <v>-3.177547114319168E-13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326.31232746914907</v>
      </c>
      <c r="EP176" s="59">
        <f t="shared" si="154"/>
        <v>330.17137761430297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0.26902852019347334</v>
      </c>
      <c r="EW176" s="21">
        <f>EXP(-LN(2)/25)*EW175+(1-EXP(-LN(2)/25))/(LN(2)/25)*Calculateur!ER176*Calculateur!ET176*VLOOKUP('Données projet'!$B$15,Paramètres!$A$1:$I$89,3,0)*0.475*44/12</f>
        <v>0.57243499116831964</v>
      </c>
      <c r="EX176" s="21">
        <f>EXP(-LN(2)/2)*EX175+(1-EXP(-LN(2)/2))/(LN(2)/2)*ER176*EU176*VLOOKUP('Données projet'!$B$15,Paramètres!$A$1:$I$89,3,0)*0.475*44/12</f>
        <v>9.7394343740592338E-21</v>
      </c>
      <c r="EY176" s="22">
        <f t="shared" si="181"/>
        <v>0.84146351136179298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255.41017495879987</v>
      </c>
      <c r="FK176" s="59">
        <f t="shared" si="156"/>
        <v>297.50513563712764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0.49141784661133353</v>
      </c>
      <c r="FR176" s="21">
        <f>EXP(-LN(2)/25)*FR175+(1-EXP(-LN(2)/25))/(LN(2)/25)*Calculateur!FM176*Calculateur!FO176*VLOOKUP('Données projet'!$B$16,Paramètres!$A$1:$I$89,3,0)*0.475*44/12</f>
        <v>0.52874141878246927</v>
      </c>
      <c r="FS176" s="21">
        <f>EXP(-LN(2)/2)*FS175+(1-EXP(-LN(2)/2))/(LN(2)/2)*FM176*FP176*VLOOKUP('Données projet'!$B$16,Paramètres!$A$1:$I$89,3,0)*0.475*44/12</f>
        <v>7.3074581502850939E-21</v>
      </c>
      <c r="FT176" s="22">
        <f t="shared" si="184"/>
        <v>1.0201592653938027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1.1368683772161603E-13</v>
      </c>
      <c r="GA176" s="17">
        <f>FZ176*VLOOKUP('Données projet'!$B$17,Paramètres!$A$1:$I$89,3,0)*VLOOKUP('Données projet'!$B$17,Paramètres!$A$1:$I$89,5,0)</f>
        <v>6.7984728957526396E-14</v>
      </c>
      <c r="GB176" s="13">
        <f t="shared" si="185"/>
        <v>1.0682447123141398E-12</v>
      </c>
      <c r="GC176" s="20">
        <f t="shared" si="186"/>
        <v>1.978932943548152E-12</v>
      </c>
      <c r="GD176" s="59">
        <f t="shared" si="134"/>
        <v>293.3333333333353</v>
      </c>
      <c r="GE176" s="59">
        <f ca="1">AVERAGE(OFFSET($GD$3,0,0,'Données projet'!$E$17+1,1))-AVERAGE(OFFSET($H$3,0,0,'Données projet'!$E$17+1,1))</f>
        <v>259.30247982593914</v>
      </c>
      <c r="GF176" s="59">
        <f t="shared" si="158"/>
        <v>275.24740346220779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</v>
      </c>
      <c r="GM176" s="21">
        <f>EXP(-LN(2)/25)*GM175+(1-EXP(-LN(2)/25))/(LN(2)/25)*Calculateur!GH176*Calculateur!GJ176*VLOOKUP('Données projet'!$B$17,Paramètres!$A$1:$I$89,3,0)*0.475*44/12</f>
        <v>0.34211862771376622</v>
      </c>
      <c r="GN176" s="21">
        <f>EXP(-LN(2)/2)*GN175+(1-EXP(-LN(2)/2))/(LN(2)/2)*GH176*GK176*VLOOKUP('Données projet'!$B$17,Paramètres!$A$1:$I$89,3,0)*0.475*44/12</f>
        <v>8.5889797103979438E-21</v>
      </c>
      <c r="GO176" s="21">
        <f t="shared" si="187"/>
        <v>0.34211862771376622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5.6843418860808015E-14</v>
      </c>
      <c r="GV176" s="17">
        <f>GU176*VLOOKUP('Données projet'!$B$18,Paramètres!$A$1:$I$89,3,0)*VLOOKUP('Données projet'!$B$18,Paramètres!$A$1:$I$89,5,0)</f>
        <v>4.5224624045658861E-14</v>
      </c>
      <c r="GW176" s="13">
        <f t="shared" si="188"/>
        <v>7.4514601661523691E-13</v>
      </c>
      <c r="GX176" s="20">
        <f t="shared" si="189"/>
        <v>1.3765621991510601E-12</v>
      </c>
      <c r="GY176" s="59">
        <f t="shared" si="137"/>
        <v>293.33333333333468</v>
      </c>
      <c r="GZ176" s="59">
        <f ca="1">AVERAGE(OFFSET($GY$3,0,0,'Données projet'!$E$18+1,1))-AVERAGE(OFFSET($H$3,0,0,'Données projet'!$E$18+1,1))</f>
        <v>199.58763537752952</v>
      </c>
      <c r="HA176" s="59">
        <f t="shared" si="160"/>
        <v>242.62852778451929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0</v>
      </c>
      <c r="HH176" s="21">
        <f>EXP(-LN(2)/25)*HH175+(1-EXP(-LN(2)/25))/(LN(2)/25)*Calculateur!HC176*Calculateur!HE176*VLOOKUP('Données projet'!$B$18,Paramètres!$A$1:$I$89,3,0)*0.475*44/12</f>
        <v>0.19508652227366374</v>
      </c>
      <c r="HI176" s="21">
        <f>EXP(-LN(2)/2)*HI175+(1-EXP(-LN(2)/2))/(LN(2)/2)*HC176*HF176*VLOOKUP('Données projet'!$B$18,Paramètres!$A$1:$I$89,3,0)*0.475*44/12</f>
        <v>3.2227786401520063E-21</v>
      </c>
      <c r="HJ176" s="22">
        <f t="shared" si="190"/>
        <v>0.19508652227366374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-1.0286385077051818E-13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237.22177246688199</v>
      </c>
      <c r="T177" s="59">
        <f t="shared" si="142"/>
        <v>149.27472147904302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5.731390919631936E-2</v>
      </c>
      <c r="AB177" s="21">
        <f>EXP(-LN(2)/2)*AB176+(1-EXP(-LN(2)/2))/(LN(2)/2)*V177*Y177*VLOOKUP('Données projet'!$B$9,Paramètres!$A$1:$I$89,3,0)*0.475*44/12</f>
        <v>1.3106453886796478E-21</v>
      </c>
      <c r="AC177" s="22">
        <f t="shared" si="163"/>
        <v>5.731390919631936E-2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-1.1527845344971866E-13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279.20364724206644</v>
      </c>
      <c r="AO177" s="59">
        <f t="shared" si="144"/>
        <v>173.99850582760712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6.4231105133806116E-2</v>
      </c>
      <c r="AW177" s="21">
        <f>EXP(-LN(2)/2)*AW176+(1-EXP(-LN(2)/2))/(LN(2)/2)*AQ177*AT177*VLOOKUP('Données projet'!$B$10,Paramètres!$A$1:$I$89,3,0)*0.475*44/12</f>
        <v>1.4688267286927085E-21</v>
      </c>
      <c r="AX177" s="21">
        <f t="shared" si="166"/>
        <v>6.4231105133806116E-2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-5.3205440053716299E-14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215.23235148064941</v>
      </c>
      <c r="BJ177" s="59">
        <f t="shared" si="146"/>
        <v>184.07239726900434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0.18099066239205605</v>
      </c>
      <c r="BQ177" s="21">
        <f>EXP(-LN(2)/25)*BQ176+(1-EXP(-LN(2)/25))/(LN(2)/25)*Calculateur!BL177*Calculateur!BN177*VLOOKUP('Données projet'!$B$11,Paramètres!$A$1:$I$89,3,0)*0.475*44/12</f>
        <v>0.14495696490917606</v>
      </c>
      <c r="BR177" s="21">
        <f>EXP(-LN(2)/2)*BR176+(1-EXP(-LN(2)/2))/(LN(2)/2)*BL177*BO177*VLOOKUP('Données projet'!$B$11,Paramètres!$A$1:$I$89,3,0)*0.475*44/12</f>
        <v>2.0820443555073818E-21</v>
      </c>
      <c r="BS177" s="22">
        <f t="shared" si="169"/>
        <v>0.32594762730123211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-1.223725121235475E-13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303.1504619632214</v>
      </c>
      <c r="CE177" s="59">
        <f t="shared" si="148"/>
        <v>188.09929616366503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6.8183788526655742E-2</v>
      </c>
      <c r="CM177" s="21">
        <f>EXP(-LN(2)/2)*CM176+(1-EXP(-LN(2)/2))/(LN(2)/2)*CG177*CJ177*VLOOKUP('Données projet'!$B$12,Paramètres!$A$1:$I$89,3,0)*0.475*44/12</f>
        <v>1.5592160658430319E-21</v>
      </c>
      <c r="CN177" s="22">
        <f t="shared" si="172"/>
        <v>6.8183788526655742E-2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5.6843418860808015E-14</v>
      </c>
      <c r="CU177" s="17">
        <f>CT177*VLOOKUP('Données projet'!$B$13,Paramètres!$A$1:$I$89,3,0)*VLOOKUP('Données projet'!$B$13,Paramètres!$A$1:$I$89,5,0)</f>
        <v>3.813056537183002E-14</v>
      </c>
      <c r="CV177" s="13">
        <f t="shared" si="173"/>
        <v>6.4086286045526829E-13</v>
      </c>
      <c r="CW177" s="20">
        <f t="shared" si="174"/>
        <v>1.1825802166488628E-12</v>
      </c>
      <c r="CX177" s="59">
        <f t="shared" si="122"/>
        <v>293.33333333333451</v>
      </c>
      <c r="CY177" s="59">
        <f ca="1">AVERAGE(OFFSET($CX$3,0,0,'Données projet'!$E$13+1,1))-AVERAGE(OFFSET($H$3,0,0,'Données projet'!$E$13+1,1))</f>
        <v>156.63226020379989</v>
      </c>
      <c r="CZ177" s="59">
        <f t="shared" si="150"/>
        <v>196.0481096619543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0.15998687168051495</v>
      </c>
      <c r="DH177" s="21">
        <f>EXP(-LN(2)/2)*DH176+(1-EXP(-LN(2)/2))/(LN(2)/2)*DB177*DE177*VLOOKUP('Données projet'!$B$13,Paramètres!$A$1:$I$89,3,0)*0.475*44/12</f>
        <v>1.9213821788378352E-21</v>
      </c>
      <c r="DI177" s="22">
        <f t="shared" si="175"/>
        <v>0.15998687168051495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-8.5265128291212022E-14</v>
      </c>
      <c r="DP177" s="17">
        <f>DO177*VLOOKUP('Données projet'!$B$14,Paramètres!$A$1:$I$89,3,0)*VLOOKUP('Données projet'!$B$14,Paramètres!$A$1:$I$89,5,0)</f>
        <v>-7.7147888077888636E-14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225.28075317732998</v>
      </c>
      <c r="DU177" s="59">
        <f t="shared" si="152"/>
        <v>358.43407531256207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0.12954102391992303</v>
      </c>
      <c r="EB177" s="21">
        <f>EXP(-LN(2)/25)*EB176+(1-EXP(-LN(2)/25))/(LN(2)/25)*Calculateur!DW177*Calculateur!DY177*VLOOKUP('Données projet'!$B$14,Paramètres!$A$1:$I$89,3,0)*0.475*44/12</f>
        <v>0.15264434740752253</v>
      </c>
      <c r="EC177" s="21">
        <f>EXP(-LN(2)/2)*EC176+(1-EXP(-LN(2)/2))/(LN(2)/2)*DW177*DZ177*VLOOKUP('Données projet'!$B$14,Paramètres!$A$1:$I$89,3,0)*0.475*44/12</f>
        <v>9.3470532856383712E-22</v>
      </c>
      <c r="ED177" s="22">
        <f t="shared" si="178"/>
        <v>0.28218537132744559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-5.6843418860808015E-13</v>
      </c>
      <c r="EK177" s="17">
        <f>EJ177*VLOOKUP('Données projet'!$B$15,Paramètres!$A$1:$I$89,3,0)*VLOOKUP('Données projet'!$B$15,Paramètres!$A$1:$I$89,5,0)</f>
        <v>-3.177547114319168E-13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326.31232746914907</v>
      </c>
      <c r="EP177" s="59">
        <f t="shared" si="154"/>
        <v>330.17137761430297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0.26375303500367397</v>
      </c>
      <c r="EW177" s="21">
        <f>EXP(-LN(2)/25)*EW176+(1-EXP(-LN(2)/25))/(LN(2)/25)*Calculateur!ER177*Calculateur!ET177*VLOOKUP('Données projet'!$B$15,Paramètres!$A$1:$I$89,3,0)*0.475*44/12</f>
        <v>0.55678172623177402</v>
      </c>
      <c r="EX177" s="21">
        <f>EXP(-LN(2)/2)*EX176+(1-EXP(-LN(2)/2))/(LN(2)/2)*ER177*EU177*VLOOKUP('Données projet'!$B$15,Paramètres!$A$1:$I$89,3,0)*0.475*44/12</f>
        <v>6.8868200908186421E-21</v>
      </c>
      <c r="EY177" s="22">
        <f t="shared" si="181"/>
        <v>0.820534761235448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255.41017495879987</v>
      </c>
      <c r="FK177" s="59">
        <f t="shared" si="156"/>
        <v>297.50513563712764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0.48178144237457532</v>
      </c>
      <c r="FR177" s="21">
        <f>EXP(-LN(2)/25)*FR176+(1-EXP(-LN(2)/25))/(LN(2)/25)*Calculateur!FM177*Calculateur!FO177*VLOOKUP('Données projet'!$B$16,Paramètres!$A$1:$I$89,3,0)*0.475*44/12</f>
        <v>0.51428295688055992</v>
      </c>
      <c r="FS177" s="21">
        <f>EXP(-LN(2)/2)*FS176+(1-EXP(-LN(2)/2))/(LN(2)/2)*FM177*FP177*VLOOKUP('Données projet'!$B$16,Paramètres!$A$1:$I$89,3,0)*0.475*44/12</f>
        <v>5.1671532113034953E-21</v>
      </c>
      <c r="FT177" s="22">
        <f t="shared" si="184"/>
        <v>0.99606439925513524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1.1368683772161603E-13</v>
      </c>
      <c r="GA177" s="17">
        <f>FZ177*VLOOKUP('Données projet'!$B$17,Paramètres!$A$1:$I$89,3,0)*VLOOKUP('Données projet'!$B$17,Paramètres!$A$1:$I$89,5,0)</f>
        <v>6.7984728957526396E-14</v>
      </c>
      <c r="GB177" s="13">
        <f t="shared" si="185"/>
        <v>1.0682447123141398E-12</v>
      </c>
      <c r="GC177" s="20">
        <f t="shared" si="186"/>
        <v>1.978932943548152E-12</v>
      </c>
      <c r="GD177" s="59">
        <f t="shared" si="134"/>
        <v>293.3333333333353</v>
      </c>
      <c r="GE177" s="59">
        <f ca="1">AVERAGE(OFFSET($GD$3,0,0,'Données projet'!$E$17+1,1))-AVERAGE(OFFSET($H$3,0,0,'Données projet'!$E$17+1,1))</f>
        <v>259.30247982593914</v>
      </c>
      <c r="GF177" s="59">
        <f t="shared" si="158"/>
        <v>275.24740346220779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</v>
      </c>
      <c r="GM177" s="21">
        <f>EXP(-LN(2)/25)*GM176+(1-EXP(-LN(2)/25))/(LN(2)/25)*Calculateur!GH177*Calculateur!GJ177*VLOOKUP('Données projet'!$B$17,Paramètres!$A$1:$I$89,3,0)*0.475*44/12</f>
        <v>0.33276337584769655</v>
      </c>
      <c r="GN177" s="21">
        <f>EXP(-LN(2)/2)*GN176+(1-EXP(-LN(2)/2))/(LN(2)/2)*GH177*GK177*VLOOKUP('Données projet'!$B$17,Paramètres!$A$1:$I$89,3,0)*0.475*44/12</f>
        <v>6.0733257966960553E-21</v>
      </c>
      <c r="GO177" s="21">
        <f t="shared" si="187"/>
        <v>0.33276337584769655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5.6843418860808015E-14</v>
      </c>
      <c r="GV177" s="17">
        <f>GU177*VLOOKUP('Données projet'!$B$18,Paramètres!$A$1:$I$89,3,0)*VLOOKUP('Données projet'!$B$18,Paramètres!$A$1:$I$89,5,0)</f>
        <v>4.5224624045658861E-14</v>
      </c>
      <c r="GW177" s="13">
        <f t="shared" si="188"/>
        <v>7.4514601661523691E-13</v>
      </c>
      <c r="GX177" s="20">
        <f t="shared" si="189"/>
        <v>1.3765621991510601E-12</v>
      </c>
      <c r="GY177" s="59">
        <f t="shared" si="137"/>
        <v>293.33333333333468</v>
      </c>
      <c r="GZ177" s="59">
        <f ca="1">AVERAGE(OFFSET($GY$3,0,0,'Données projet'!$E$18+1,1))-AVERAGE(OFFSET($H$3,0,0,'Données projet'!$E$18+1,1))</f>
        <v>199.58763537752952</v>
      </c>
      <c r="HA177" s="59">
        <f t="shared" si="160"/>
        <v>242.62852778451929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0</v>
      </c>
      <c r="HH177" s="21">
        <f>EXP(-LN(2)/25)*HH176+(1-EXP(-LN(2)/25))/(LN(2)/25)*Calculateur!HC177*Calculateur!HE177*VLOOKUP('Données projet'!$B$18,Paramètres!$A$1:$I$89,3,0)*0.475*44/12</f>
        <v>0.18975187106293609</v>
      </c>
      <c r="HI177" s="21">
        <f>EXP(-LN(2)/2)*HI176+(1-EXP(-LN(2)/2))/(LN(2)/2)*HC177*HF177*VLOOKUP('Données projet'!$B$18,Paramètres!$A$1:$I$89,3,0)*0.475*44/12</f>
        <v>2.2788486307146439E-21</v>
      </c>
      <c r="HJ177" s="22">
        <f t="shared" si="190"/>
        <v>0.18975187106293609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-1.0286385077051818E-13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237.22177246688199</v>
      </c>
      <c r="T178" s="59">
        <f t="shared" si="142"/>
        <v>149.27472147904302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5.5746657335338512E-2</v>
      </c>
      <c r="AB178" s="21">
        <f>EXP(-LN(2)/2)*AB177+(1-EXP(-LN(2)/2))/(LN(2)/2)*V178*Y178*VLOOKUP('Données projet'!$B$9,Paramètres!$A$1:$I$89,3,0)*0.475*44/12</f>
        <v>9.267662420662572E-22</v>
      </c>
      <c r="AC178" s="22">
        <f t="shared" si="163"/>
        <v>5.5746657335338512E-2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-1.1527845344971866E-13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279.20364724206644</v>
      </c>
      <c r="AO178" s="59">
        <f t="shared" si="144"/>
        <v>173.99850582760712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6.2474702186155168E-2</v>
      </c>
      <c r="AW178" s="21">
        <f>EXP(-LN(2)/2)*AW177+(1-EXP(-LN(2)/2))/(LN(2)/2)*AQ178*AT178*VLOOKUP('Données projet'!$B$10,Paramètres!$A$1:$I$89,3,0)*0.475*44/12</f>
        <v>1.0386173402466674E-21</v>
      </c>
      <c r="AX178" s="21">
        <f t="shared" si="166"/>
        <v>6.2474702186155168E-2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-5.3205440053716299E-14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215.23235148064941</v>
      </c>
      <c r="BJ178" s="59">
        <f t="shared" si="146"/>
        <v>184.07239726900434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0.17744154589595146</v>
      </c>
      <c r="BQ178" s="21">
        <f>EXP(-LN(2)/25)*BQ177+(1-EXP(-LN(2)/25))/(LN(2)/25)*Calculateur!BL178*Calculateur!BN178*VLOOKUP('Données projet'!$B$11,Paramètres!$A$1:$I$89,3,0)*0.475*44/12</f>
        <v>0.14099310908077917</v>
      </c>
      <c r="BR178" s="21">
        <f>EXP(-LN(2)/2)*BR177+(1-EXP(-LN(2)/2))/(LN(2)/2)*BL178*BO178*VLOOKUP('Données projet'!$B$11,Paramètres!$A$1:$I$89,3,0)*0.475*44/12</f>
        <v>1.4722276825104446E-21</v>
      </c>
      <c r="BS178" s="22">
        <f t="shared" si="169"/>
        <v>0.31843465497673062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-1.223725121235475E-13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303.1504619632214</v>
      </c>
      <c r="CE178" s="59">
        <f t="shared" si="148"/>
        <v>188.09929616366503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6.6319299243764743E-2</v>
      </c>
      <c r="CM178" s="21">
        <f>EXP(-LN(2)/2)*CM177+(1-EXP(-LN(2)/2))/(LN(2)/2)*CG178*CJ178*VLOOKUP('Données projet'!$B$12,Paramètres!$A$1:$I$89,3,0)*0.475*44/12</f>
        <v>1.1025322534926182E-21</v>
      </c>
      <c r="CN178" s="22">
        <f t="shared" si="172"/>
        <v>6.6319299243764743E-2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5.6843418860808015E-14</v>
      </c>
      <c r="CU178" s="17">
        <f>CT178*VLOOKUP('Données projet'!$B$13,Paramètres!$A$1:$I$89,3,0)*VLOOKUP('Données projet'!$B$13,Paramètres!$A$1:$I$89,5,0)</f>
        <v>3.813056537183002E-14</v>
      </c>
      <c r="CV178" s="13">
        <f t="shared" si="173"/>
        <v>6.4086286045526829E-13</v>
      </c>
      <c r="CW178" s="20">
        <f t="shared" si="174"/>
        <v>1.1825802166488628E-12</v>
      </c>
      <c r="CX178" s="59">
        <f t="shared" si="122"/>
        <v>293.33333333333451</v>
      </c>
      <c r="CY178" s="59">
        <f ca="1">AVERAGE(OFFSET($CX$3,0,0,'Données projet'!$E$13+1,1))-AVERAGE(OFFSET($H$3,0,0,'Données projet'!$E$13+1,1))</f>
        <v>156.63226020379989</v>
      </c>
      <c r="CZ178" s="59">
        <f t="shared" si="150"/>
        <v>196.0481096619543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0.15561202226106735</v>
      </c>
      <c r="DH178" s="21">
        <f>EXP(-LN(2)/2)*DH177+(1-EXP(-LN(2)/2))/(LN(2)/2)*DB178*DE178*VLOOKUP('Données projet'!$B$13,Paramètres!$A$1:$I$89,3,0)*0.475*44/12</f>
        <v>1.3586223679072171E-21</v>
      </c>
      <c r="DI178" s="22">
        <f t="shared" si="175"/>
        <v>0.15561202226106735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-8.5265128291212022E-14</v>
      </c>
      <c r="DP178" s="17">
        <f>DO178*VLOOKUP('Données projet'!$B$14,Paramètres!$A$1:$I$89,3,0)*VLOOKUP('Données projet'!$B$14,Paramètres!$A$1:$I$89,5,0)</f>
        <v>-7.7147888077888636E-14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225.28075317732998</v>
      </c>
      <c r="DU178" s="59">
        <f t="shared" si="152"/>
        <v>358.43407531256207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0.12700080345307613</v>
      </c>
      <c r="EB178" s="21">
        <f>EXP(-LN(2)/25)*EB177+(1-EXP(-LN(2)/25))/(LN(2)/25)*Calculateur!DW178*Calculateur!DY178*VLOOKUP('Données projet'!$B$14,Paramètres!$A$1:$I$89,3,0)*0.475*44/12</f>
        <v>0.14847027970044646</v>
      </c>
      <c r="EC178" s="21">
        <f>EXP(-LN(2)/2)*EC177+(1-EXP(-LN(2)/2))/(LN(2)/2)*DW178*DZ178*VLOOKUP('Données projet'!$B$14,Paramètres!$A$1:$I$89,3,0)*0.475*44/12</f>
        <v>6.6093647623868919E-22</v>
      </c>
      <c r="ED178" s="22">
        <f t="shared" si="178"/>
        <v>0.27547108315352259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-5.6843418860808015E-13</v>
      </c>
      <c r="EK178" s="17">
        <f>EJ178*VLOOKUP('Données projet'!$B$15,Paramètres!$A$1:$I$89,3,0)*VLOOKUP('Données projet'!$B$15,Paramètres!$A$1:$I$89,5,0)</f>
        <v>-3.177547114319168E-13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326.31232746914907</v>
      </c>
      <c r="EP178" s="59">
        <f t="shared" si="154"/>
        <v>330.17137761430297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0.25858099886071834</v>
      </c>
      <c r="EW178" s="21">
        <f>EXP(-LN(2)/25)*EW177+(1-EXP(-LN(2)/25))/(LN(2)/25)*Calculateur!ER178*Calculateur!ET178*VLOOKUP('Données projet'!$B$15,Paramètres!$A$1:$I$89,3,0)*0.475*44/12</f>
        <v>0.54155650064808769</v>
      </c>
      <c r="EX178" s="21">
        <f>EXP(-LN(2)/2)*EX177+(1-EXP(-LN(2)/2))/(LN(2)/2)*ER178*EU178*VLOOKUP('Données projet'!$B$15,Paramètres!$A$1:$I$89,3,0)*0.475*44/12</f>
        <v>4.8697171870296169E-21</v>
      </c>
      <c r="EY178" s="22">
        <f t="shared" si="181"/>
        <v>0.80013749950880597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255.41017495879987</v>
      </c>
      <c r="FK178" s="59">
        <f t="shared" si="156"/>
        <v>297.50513563712764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0.47233400214727372</v>
      </c>
      <c r="FR178" s="21">
        <f>EXP(-LN(2)/25)*FR177+(1-EXP(-LN(2)/25))/(LN(2)/25)*Calculateur!FM178*Calculateur!FO178*VLOOKUP('Données projet'!$B$16,Paramètres!$A$1:$I$89,3,0)*0.475*44/12</f>
        <v>0.50021986237969573</v>
      </c>
      <c r="FS178" s="21">
        <f>EXP(-LN(2)/2)*FS177+(1-EXP(-LN(2)/2))/(LN(2)/2)*FM178*FP178*VLOOKUP('Données projet'!$B$16,Paramètres!$A$1:$I$89,3,0)*0.475*44/12</f>
        <v>3.653729075142547E-21</v>
      </c>
      <c r="FT178" s="22">
        <f t="shared" si="184"/>
        <v>0.97255386452696946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1.1368683772161603E-13</v>
      </c>
      <c r="GA178" s="17">
        <f>FZ178*VLOOKUP('Données projet'!$B$17,Paramètres!$A$1:$I$89,3,0)*VLOOKUP('Données projet'!$B$17,Paramètres!$A$1:$I$89,5,0)</f>
        <v>6.7984728957526396E-14</v>
      </c>
      <c r="GB178" s="13">
        <f t="shared" si="185"/>
        <v>1.0682447123141398E-12</v>
      </c>
      <c r="GC178" s="20">
        <f t="shared" si="186"/>
        <v>1.978932943548152E-12</v>
      </c>
      <c r="GD178" s="59">
        <f t="shared" si="134"/>
        <v>293.3333333333353</v>
      </c>
      <c r="GE178" s="59">
        <f ca="1">AVERAGE(OFFSET($GD$3,0,0,'Données projet'!$E$17+1,1))-AVERAGE(OFFSET($H$3,0,0,'Données projet'!$E$17+1,1))</f>
        <v>259.30247982593914</v>
      </c>
      <c r="GF178" s="59">
        <f t="shared" si="158"/>
        <v>275.24740346220779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</v>
      </c>
      <c r="GM178" s="21">
        <f>EXP(-LN(2)/25)*GM177+(1-EXP(-LN(2)/25))/(LN(2)/25)*Calculateur!GH178*Calculateur!GJ178*VLOOKUP('Données projet'!$B$17,Paramètres!$A$1:$I$89,3,0)*0.475*44/12</f>
        <v>0.32366394383587588</v>
      </c>
      <c r="GN178" s="21">
        <f>EXP(-LN(2)/2)*GN177+(1-EXP(-LN(2)/2))/(LN(2)/2)*GH178*GK178*VLOOKUP('Données projet'!$B$17,Paramètres!$A$1:$I$89,3,0)*0.475*44/12</f>
        <v>4.2944898551989719E-21</v>
      </c>
      <c r="GO178" s="21">
        <f t="shared" si="187"/>
        <v>0.32366394383587588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5.6843418860808015E-14</v>
      </c>
      <c r="GV178" s="17">
        <f>GU178*VLOOKUP('Données projet'!$B$18,Paramètres!$A$1:$I$89,3,0)*VLOOKUP('Données projet'!$B$18,Paramètres!$A$1:$I$89,5,0)</f>
        <v>4.5224624045658861E-14</v>
      </c>
      <c r="GW178" s="13">
        <f t="shared" si="188"/>
        <v>7.4514601661523691E-13</v>
      </c>
      <c r="GX178" s="20">
        <f t="shared" si="189"/>
        <v>1.3765621991510601E-12</v>
      </c>
      <c r="GY178" s="59">
        <f t="shared" si="137"/>
        <v>293.33333333333468</v>
      </c>
      <c r="GZ178" s="59">
        <f ca="1">AVERAGE(OFFSET($GY$3,0,0,'Données projet'!$E$18+1,1))-AVERAGE(OFFSET($H$3,0,0,'Données projet'!$E$18+1,1))</f>
        <v>199.58763537752952</v>
      </c>
      <c r="HA178" s="59">
        <f t="shared" si="160"/>
        <v>242.62852778451929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0</v>
      </c>
      <c r="HH178" s="21">
        <f>EXP(-LN(2)/25)*HH177+(1-EXP(-LN(2)/25))/(LN(2)/25)*Calculateur!HC178*Calculateur!HE178*VLOOKUP('Données projet'!$B$18,Paramètres!$A$1:$I$89,3,0)*0.475*44/12</f>
        <v>0.18456309617010289</v>
      </c>
      <c r="HI178" s="21">
        <f>EXP(-LN(2)/2)*HI177+(1-EXP(-LN(2)/2))/(LN(2)/2)*HC178*HF178*VLOOKUP('Données projet'!$B$18,Paramètres!$A$1:$I$89,3,0)*0.475*44/12</f>
        <v>1.6113893200760032E-21</v>
      </c>
      <c r="HJ178" s="22">
        <f t="shared" si="190"/>
        <v>0.18456309617010289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-1.0286385077051818E-13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237.22177246688199</v>
      </c>
      <c r="T179" s="59">
        <f t="shared" si="142"/>
        <v>149.27472147904302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5.4222262058914381E-2</v>
      </c>
      <c r="AB179" s="21">
        <f>EXP(-LN(2)/2)*AB178+(1-EXP(-LN(2)/2))/(LN(2)/2)*V179*Y179*VLOOKUP('Données projet'!$B$9,Paramètres!$A$1:$I$89,3,0)*0.475*44/12</f>
        <v>6.5532269433982388E-22</v>
      </c>
      <c r="AC179" s="22">
        <f t="shared" si="163"/>
        <v>5.4222262058914381E-2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-1.1527845344971866E-13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279.20364724206644</v>
      </c>
      <c r="AO179" s="59">
        <f t="shared" si="144"/>
        <v>173.99850582760712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6.0766328169472958E-2</v>
      </c>
      <c r="AW179" s="21">
        <f>EXP(-LN(2)/2)*AW178+(1-EXP(-LN(2)/2))/(LN(2)/2)*AQ179*AT179*VLOOKUP('Données projet'!$B$10,Paramètres!$A$1:$I$89,3,0)*0.475*44/12</f>
        <v>7.3441336434635423E-22</v>
      </c>
      <c r="AX179" s="21">
        <f t="shared" si="166"/>
        <v>6.0766328169472958E-2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-5.3205440053716299E-14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215.23235148064941</v>
      </c>
      <c r="BJ179" s="59">
        <f t="shared" si="146"/>
        <v>184.07239726900434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0.17396202540958816</v>
      </c>
      <c r="BQ179" s="21">
        <f>EXP(-LN(2)/25)*BQ178+(1-EXP(-LN(2)/25))/(LN(2)/25)*Calculateur!BL179*Calculateur!BN179*VLOOKUP('Données projet'!$B$11,Paramètres!$A$1:$I$89,3,0)*0.475*44/12</f>
        <v>0.13713764509845991</v>
      </c>
      <c r="BR179" s="21">
        <f>EXP(-LN(2)/2)*BR178+(1-EXP(-LN(2)/2))/(LN(2)/2)*BL179*BO179*VLOOKUP('Données projet'!$B$11,Paramètres!$A$1:$I$89,3,0)*0.475*44/12</f>
        <v>1.0410221777536909E-21</v>
      </c>
      <c r="BS179" s="22">
        <f t="shared" si="169"/>
        <v>0.3110996705080481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-1.223725121235475E-13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303.1504619632214</v>
      </c>
      <c r="CE179" s="59">
        <f t="shared" si="148"/>
        <v>188.09929616366503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6.4505794518363621E-2</v>
      </c>
      <c r="CM179" s="21">
        <f>EXP(-LN(2)/2)*CM178+(1-EXP(-LN(2)/2))/(LN(2)/2)*CG179*CJ179*VLOOKUP('Données projet'!$B$12,Paramètres!$A$1:$I$89,3,0)*0.475*44/12</f>
        <v>7.7960803292151596E-22</v>
      </c>
      <c r="CN179" s="22">
        <f t="shared" si="172"/>
        <v>6.4505794518363621E-2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5.6843418860808015E-14</v>
      </c>
      <c r="CU179" s="17">
        <f>CT179*VLOOKUP('Données projet'!$B$13,Paramètres!$A$1:$I$89,3,0)*VLOOKUP('Données projet'!$B$13,Paramètres!$A$1:$I$89,5,0)</f>
        <v>3.813056537183002E-14</v>
      </c>
      <c r="CV179" s="13">
        <f t="shared" si="173"/>
        <v>6.4086286045526829E-13</v>
      </c>
      <c r="CW179" s="20">
        <f t="shared" si="174"/>
        <v>1.1825802166488628E-12</v>
      </c>
      <c r="CX179" s="59">
        <f t="shared" si="122"/>
        <v>293.33333333333451</v>
      </c>
      <c r="CY179" s="59">
        <f ca="1">AVERAGE(OFFSET($CX$3,0,0,'Données projet'!$E$13+1,1))-AVERAGE(OFFSET($H$3,0,0,'Données projet'!$E$13+1,1))</f>
        <v>156.63226020379989</v>
      </c>
      <c r="CZ179" s="59">
        <f t="shared" si="150"/>
        <v>196.0481096619543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0.15135680332905788</v>
      </c>
      <c r="DH179" s="21">
        <f>EXP(-LN(2)/2)*DH178+(1-EXP(-LN(2)/2))/(LN(2)/2)*DB179*DE179*VLOOKUP('Données projet'!$B$13,Paramètres!$A$1:$I$89,3,0)*0.475*44/12</f>
        <v>9.6069108941891761E-22</v>
      </c>
      <c r="DI179" s="22">
        <f t="shared" si="175"/>
        <v>0.15135680332905788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-8.5265128291212022E-14</v>
      </c>
      <c r="DP179" s="17">
        <f>DO179*VLOOKUP('Données projet'!$B$14,Paramètres!$A$1:$I$89,3,0)*VLOOKUP('Données projet'!$B$14,Paramètres!$A$1:$I$89,5,0)</f>
        <v>-7.7147888077888636E-14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225.28075317732998</v>
      </c>
      <c r="DU179" s="59">
        <f t="shared" si="152"/>
        <v>358.43407531256207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0.1245103951602026</v>
      </c>
      <c r="EB179" s="21">
        <f>EXP(-LN(2)/25)*EB178+(1-EXP(-LN(2)/25))/(LN(2)/25)*Calculateur!DW179*Calculateur!DY179*VLOOKUP('Données projet'!$B$14,Paramètres!$A$1:$I$89,3,0)*0.475*44/12</f>
        <v>0.14441035209432507</v>
      </c>
      <c r="EC179" s="21">
        <f>EXP(-LN(2)/2)*EC178+(1-EXP(-LN(2)/2))/(LN(2)/2)*DW179*DZ179*VLOOKUP('Données projet'!$B$14,Paramètres!$A$1:$I$89,3,0)*0.475*44/12</f>
        <v>4.6735266428191856E-22</v>
      </c>
      <c r="ED179" s="22">
        <f t="shared" si="178"/>
        <v>0.26892074725452764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-5.6843418860808015E-13</v>
      </c>
      <c r="EK179" s="17">
        <f>EJ179*VLOOKUP('Données projet'!$B$15,Paramètres!$A$1:$I$89,3,0)*VLOOKUP('Données projet'!$B$15,Paramètres!$A$1:$I$89,5,0)</f>
        <v>-3.177547114319168E-13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326.31232746914907</v>
      </c>
      <c r="EP179" s="59">
        <f t="shared" si="154"/>
        <v>330.17137761430297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0.25351038319189551</v>
      </c>
      <c r="EW179" s="21">
        <f>EXP(-LN(2)/25)*EW178+(1-EXP(-LN(2)/25))/(LN(2)/25)*Calculateur!ER179*Calculateur!ET179*VLOOKUP('Données projet'!$B$15,Paramètres!$A$1:$I$89,3,0)*0.475*44/12</f>
        <v>0.52674760965864709</v>
      </c>
      <c r="EX179" s="21">
        <f>EXP(-LN(2)/2)*EX178+(1-EXP(-LN(2)/2))/(LN(2)/2)*ER179*EU179*VLOOKUP('Données projet'!$B$15,Paramètres!$A$1:$I$89,3,0)*0.475*44/12</f>
        <v>3.4434100454093211E-21</v>
      </c>
      <c r="EY179" s="22">
        <f t="shared" si="181"/>
        <v>0.78025799285054265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255.41017495879987</v>
      </c>
      <c r="FK179" s="59">
        <f t="shared" si="156"/>
        <v>297.50513563712764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0.46307182046045997</v>
      </c>
      <c r="FR179" s="21">
        <f>EXP(-LN(2)/25)*FR178+(1-EXP(-LN(2)/25))/(LN(2)/25)*Calculateur!FM179*Calculateur!FO179*VLOOKUP('Données projet'!$B$16,Paramètres!$A$1:$I$89,3,0)*0.475*44/12</f>
        <v>0.48654132393750366</v>
      </c>
      <c r="FS179" s="21">
        <f>EXP(-LN(2)/2)*FS178+(1-EXP(-LN(2)/2))/(LN(2)/2)*FM179*FP179*VLOOKUP('Données projet'!$B$16,Paramètres!$A$1:$I$89,3,0)*0.475*44/12</f>
        <v>2.5835766056517477E-21</v>
      </c>
      <c r="FT179" s="22">
        <f t="shared" si="184"/>
        <v>0.94961314439796363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1.1368683772161603E-13</v>
      </c>
      <c r="GA179" s="17">
        <f>FZ179*VLOOKUP('Données projet'!$B$17,Paramètres!$A$1:$I$89,3,0)*VLOOKUP('Données projet'!$B$17,Paramètres!$A$1:$I$89,5,0)</f>
        <v>6.7984728957526396E-14</v>
      </c>
      <c r="GB179" s="13">
        <f t="shared" si="185"/>
        <v>1.0682447123141398E-12</v>
      </c>
      <c r="GC179" s="20">
        <f t="shared" si="186"/>
        <v>1.978932943548152E-12</v>
      </c>
      <c r="GD179" s="59">
        <f t="shared" si="134"/>
        <v>293.3333333333353</v>
      </c>
      <c r="GE179" s="59">
        <f ca="1">AVERAGE(OFFSET($GD$3,0,0,'Données projet'!$E$17+1,1))-AVERAGE(OFFSET($H$3,0,0,'Données projet'!$E$17+1,1))</f>
        <v>259.30247982593914</v>
      </c>
      <c r="GF179" s="59">
        <f t="shared" si="158"/>
        <v>275.24740346220779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</v>
      </c>
      <c r="GM179" s="21">
        <f>EXP(-LN(2)/25)*GM178+(1-EXP(-LN(2)/25))/(LN(2)/25)*Calculateur!GH179*Calculateur!GJ179*VLOOKUP('Données projet'!$B$17,Paramètres!$A$1:$I$89,3,0)*0.475*44/12</f>
        <v>0.31481333627093677</v>
      </c>
      <c r="GN179" s="21">
        <f>EXP(-LN(2)/2)*GN178+(1-EXP(-LN(2)/2))/(LN(2)/2)*GH179*GK179*VLOOKUP('Données projet'!$B$17,Paramètres!$A$1:$I$89,3,0)*0.475*44/12</f>
        <v>3.0366628983480276E-21</v>
      </c>
      <c r="GO179" s="21">
        <f t="shared" si="187"/>
        <v>0.31481333627093677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5.6843418860808015E-14</v>
      </c>
      <c r="GV179" s="17">
        <f>GU179*VLOOKUP('Données projet'!$B$18,Paramètres!$A$1:$I$89,3,0)*VLOOKUP('Données projet'!$B$18,Paramètres!$A$1:$I$89,5,0)</f>
        <v>4.5224624045658861E-14</v>
      </c>
      <c r="GW179" s="13">
        <f t="shared" si="188"/>
        <v>7.4514601661523691E-13</v>
      </c>
      <c r="GX179" s="20">
        <f t="shared" si="189"/>
        <v>1.3765621991510601E-12</v>
      </c>
      <c r="GY179" s="59">
        <f t="shared" si="137"/>
        <v>293.33333333333468</v>
      </c>
      <c r="GZ179" s="59">
        <f ca="1">AVERAGE(OFFSET($GY$3,0,0,'Données projet'!$E$18+1,1))-AVERAGE(OFFSET($H$3,0,0,'Données projet'!$E$18+1,1))</f>
        <v>199.58763537752952</v>
      </c>
      <c r="HA179" s="59">
        <f t="shared" si="160"/>
        <v>242.62852778451929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0</v>
      </c>
      <c r="HH179" s="21">
        <f>EXP(-LN(2)/25)*HH178+(1-EXP(-LN(2)/25))/(LN(2)/25)*Calculateur!HC179*Calculateur!HE179*VLOOKUP('Données projet'!$B$18,Paramètres!$A$1:$I$89,3,0)*0.475*44/12</f>
        <v>0.17951620859958001</v>
      </c>
      <c r="HI179" s="21">
        <f>EXP(-LN(2)/2)*HI178+(1-EXP(-LN(2)/2))/(LN(2)/2)*HC179*HF179*VLOOKUP('Données projet'!$B$18,Paramètres!$A$1:$I$89,3,0)*0.475*44/12</f>
        <v>1.139424315357322E-21</v>
      </c>
      <c r="HJ179" s="22">
        <f t="shared" si="190"/>
        <v>0.17951620859958001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-1.0286385077051818E-13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237.22177246688199</v>
      </c>
      <c r="T180" s="59">
        <f t="shared" si="142"/>
        <v>149.27472147904302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5.273955145148853E-2</v>
      </c>
      <c r="AB180" s="21">
        <f>EXP(-LN(2)/2)*AB179+(1-EXP(-LN(2)/2))/(LN(2)/2)*V180*Y180*VLOOKUP('Données projet'!$B$9,Paramètres!$A$1:$I$89,3,0)*0.475*44/12</f>
        <v>4.633831210331286E-22</v>
      </c>
      <c r="AC180" s="22">
        <f t="shared" si="163"/>
        <v>5.273955145148853E-2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-1.1527845344971866E-13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279.20364724206644</v>
      </c>
      <c r="AO180" s="59">
        <f t="shared" si="144"/>
        <v>173.99850582760712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5.9104669730116403E-2</v>
      </c>
      <c r="AW180" s="21">
        <f>EXP(-LN(2)/2)*AW179+(1-EXP(-LN(2)/2))/(LN(2)/2)*AQ180*AT180*VLOOKUP('Données projet'!$B$10,Paramètres!$A$1:$I$89,3,0)*0.475*44/12</f>
        <v>5.193086701233337E-22</v>
      </c>
      <c r="AX180" s="21">
        <f t="shared" si="166"/>
        <v>5.9104669730116403E-2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-5.3205440053716299E-14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215.23235148064941</v>
      </c>
      <c r="BJ180" s="59">
        <f t="shared" si="146"/>
        <v>184.07239726900434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0.1705507361976645</v>
      </c>
      <c r="BQ180" s="21">
        <f>EXP(-LN(2)/25)*BQ179+(1-EXP(-LN(2)/25))/(LN(2)/25)*Calculateur!BL180*Calculateur!BN180*VLOOKUP('Données projet'!$B$11,Paramètres!$A$1:$I$89,3,0)*0.475*44/12</f>
        <v>0.13338760898148719</v>
      </c>
      <c r="BR180" s="21">
        <f>EXP(-LN(2)/2)*BR179+(1-EXP(-LN(2)/2))/(LN(2)/2)*BL180*BO180*VLOOKUP('Données projet'!$B$11,Paramètres!$A$1:$I$89,3,0)*0.475*44/12</f>
        <v>7.3611384125522231E-22</v>
      </c>
      <c r="BS180" s="22">
        <f t="shared" si="169"/>
        <v>0.30393834517915169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-1.223725121235475E-13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303.1504619632214</v>
      </c>
      <c r="CE180" s="59">
        <f t="shared" si="148"/>
        <v>188.09929616366503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6.2741880175046658E-2</v>
      </c>
      <c r="CM180" s="21">
        <f>EXP(-LN(2)/2)*CM179+(1-EXP(-LN(2)/2))/(LN(2)/2)*CG180*CJ180*VLOOKUP('Données projet'!$B$12,Paramètres!$A$1:$I$89,3,0)*0.475*44/12</f>
        <v>5.5126612674630912E-22</v>
      </c>
      <c r="CN180" s="22">
        <f t="shared" si="172"/>
        <v>6.2741880175046658E-2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5.6843418860808015E-14</v>
      </c>
      <c r="CU180" s="17">
        <f>CT180*VLOOKUP('Données projet'!$B$13,Paramètres!$A$1:$I$89,3,0)*VLOOKUP('Données projet'!$B$13,Paramètres!$A$1:$I$89,5,0)</f>
        <v>3.813056537183002E-14</v>
      </c>
      <c r="CV180" s="13">
        <f t="shared" si="173"/>
        <v>6.4086286045526829E-13</v>
      </c>
      <c r="CW180" s="20">
        <f t="shared" si="174"/>
        <v>1.1825802166488628E-12</v>
      </c>
      <c r="CX180" s="59">
        <f t="shared" si="122"/>
        <v>293.33333333333451</v>
      </c>
      <c r="CY180" s="59">
        <f ca="1">AVERAGE(OFFSET($CX$3,0,0,'Données projet'!$E$13+1,1))-AVERAGE(OFFSET($H$3,0,0,'Données projet'!$E$13+1,1))</f>
        <v>156.63226020379989</v>
      </c>
      <c r="CZ180" s="59">
        <f t="shared" si="150"/>
        <v>196.0481096619543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0.14721794358251644</v>
      </c>
      <c r="DH180" s="21">
        <f>EXP(-LN(2)/2)*DH179+(1-EXP(-LN(2)/2))/(LN(2)/2)*DB180*DE180*VLOOKUP('Données projet'!$B$13,Paramètres!$A$1:$I$89,3,0)*0.475*44/12</f>
        <v>6.7931118395360853E-22</v>
      </c>
      <c r="DI180" s="22">
        <f t="shared" si="175"/>
        <v>0.14721794358251644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-8.5265128291212022E-14</v>
      </c>
      <c r="DP180" s="17">
        <f>DO180*VLOOKUP('Données projet'!$B$14,Paramètres!$A$1:$I$89,3,0)*VLOOKUP('Données projet'!$B$14,Paramètres!$A$1:$I$89,5,0)</f>
        <v>-7.7147888077888636E-14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225.28075317732998</v>
      </c>
      <c r="DU180" s="59">
        <f t="shared" si="152"/>
        <v>358.43407531256207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0.12206882225495325</v>
      </c>
      <c r="EB180" s="21">
        <f>EXP(-LN(2)/25)*EB179+(1-EXP(-LN(2)/25))/(LN(2)/25)*Calculateur!DW180*Calculateur!DY180*VLOOKUP('Données projet'!$B$14,Paramètres!$A$1:$I$89,3,0)*0.475*44/12</f>
        <v>0.14046144342209538</v>
      </c>
      <c r="EC180" s="21">
        <f>EXP(-LN(2)/2)*EC179+(1-EXP(-LN(2)/2))/(LN(2)/2)*DW180*DZ180*VLOOKUP('Données projet'!$B$14,Paramètres!$A$1:$I$89,3,0)*0.475*44/12</f>
        <v>3.3046823811934459E-22</v>
      </c>
      <c r="ED180" s="22">
        <f t="shared" si="178"/>
        <v>0.26253026567704862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-5.6843418860808015E-13</v>
      </c>
      <c r="EK180" s="17">
        <f>EJ180*VLOOKUP('Données projet'!$B$15,Paramètres!$A$1:$I$89,3,0)*VLOOKUP('Données projet'!$B$15,Paramètres!$A$1:$I$89,5,0)</f>
        <v>-3.177547114319168E-13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326.31232746914907</v>
      </c>
      <c r="EP180" s="59">
        <f t="shared" si="154"/>
        <v>330.17137761430297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0.24853919920356812</v>
      </c>
      <c r="EW180" s="21">
        <f>EXP(-LN(2)/25)*EW179+(1-EXP(-LN(2)/25))/(LN(2)/25)*Calculateur!ER180*Calculateur!ET180*VLOOKUP('Données projet'!$B$15,Paramètres!$A$1:$I$89,3,0)*0.475*44/12</f>
        <v>0.51234366857207847</v>
      </c>
      <c r="EX180" s="21">
        <f>EXP(-LN(2)/2)*EX179+(1-EXP(-LN(2)/2))/(LN(2)/2)*ER180*EU180*VLOOKUP('Données projet'!$B$15,Paramètres!$A$1:$I$89,3,0)*0.475*44/12</f>
        <v>2.4348585935148085E-21</v>
      </c>
      <c r="EY180" s="22">
        <f t="shared" si="181"/>
        <v>0.76088286777564662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255.41017495879987</v>
      </c>
      <c r="FK180" s="59">
        <f t="shared" si="156"/>
        <v>297.50513563712764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0.4539912645071516</v>
      </c>
      <c r="FR180" s="21">
        <f>EXP(-LN(2)/25)*FR179+(1-EXP(-LN(2)/25))/(LN(2)/25)*Calculateur!FM180*Calculateur!FO180*VLOOKUP('Données projet'!$B$16,Paramètres!$A$1:$I$89,3,0)*0.475*44/12</f>
        <v>0.47323682584833637</v>
      </c>
      <c r="FS180" s="21">
        <f>EXP(-LN(2)/2)*FS179+(1-EXP(-LN(2)/2))/(LN(2)/2)*FM180*FP180*VLOOKUP('Données projet'!$B$16,Paramètres!$A$1:$I$89,3,0)*0.475*44/12</f>
        <v>1.8268645375712735E-21</v>
      </c>
      <c r="FT180" s="22">
        <f t="shared" si="184"/>
        <v>0.92722809035548792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1.1368683772161603E-13</v>
      </c>
      <c r="GA180" s="17">
        <f>FZ180*VLOOKUP('Données projet'!$B$17,Paramètres!$A$1:$I$89,3,0)*VLOOKUP('Données projet'!$B$17,Paramètres!$A$1:$I$89,5,0)</f>
        <v>6.7984728957526396E-14</v>
      </c>
      <c r="GB180" s="13">
        <f t="shared" si="185"/>
        <v>1.0682447123141398E-12</v>
      </c>
      <c r="GC180" s="20">
        <f t="shared" si="186"/>
        <v>1.978932943548152E-12</v>
      </c>
      <c r="GD180" s="59">
        <f t="shared" si="134"/>
        <v>293.3333333333353</v>
      </c>
      <c r="GE180" s="59">
        <f ca="1">AVERAGE(OFFSET($GD$3,0,0,'Données projet'!$E$17+1,1))-AVERAGE(OFFSET($H$3,0,0,'Données projet'!$E$17+1,1))</f>
        <v>259.30247982593914</v>
      </c>
      <c r="GF180" s="59">
        <f t="shared" si="158"/>
        <v>275.24740346220779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</v>
      </c>
      <c r="GM180" s="21">
        <f>EXP(-LN(2)/25)*GM179+(1-EXP(-LN(2)/25))/(LN(2)/25)*Calculateur!GH180*Calculateur!GJ180*VLOOKUP('Données projet'!$B$17,Paramètres!$A$1:$I$89,3,0)*0.475*44/12</f>
        <v>0.30620474903529415</v>
      </c>
      <c r="GN180" s="21">
        <f>EXP(-LN(2)/2)*GN179+(1-EXP(-LN(2)/2))/(LN(2)/2)*GH180*GK180*VLOOKUP('Données projet'!$B$17,Paramètres!$A$1:$I$89,3,0)*0.475*44/12</f>
        <v>2.147244927599486E-21</v>
      </c>
      <c r="GO180" s="21">
        <f t="shared" si="187"/>
        <v>0.30620474903529415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5.6843418860808015E-14</v>
      </c>
      <c r="GV180" s="17">
        <f>GU180*VLOOKUP('Données projet'!$B$18,Paramètres!$A$1:$I$89,3,0)*VLOOKUP('Données projet'!$B$18,Paramètres!$A$1:$I$89,5,0)</f>
        <v>4.5224624045658861E-14</v>
      </c>
      <c r="GW180" s="13">
        <f t="shared" si="188"/>
        <v>7.4514601661523691E-13</v>
      </c>
      <c r="GX180" s="20">
        <f t="shared" si="189"/>
        <v>1.3765621991510601E-12</v>
      </c>
      <c r="GY180" s="59">
        <f t="shared" si="137"/>
        <v>293.33333333333468</v>
      </c>
      <c r="GZ180" s="59">
        <f ca="1">AVERAGE(OFFSET($GY$3,0,0,'Données projet'!$E$18+1,1))-AVERAGE(OFFSET($H$3,0,0,'Données projet'!$E$18+1,1))</f>
        <v>199.58763537752952</v>
      </c>
      <c r="HA180" s="59">
        <f t="shared" si="160"/>
        <v>242.62852778451929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0</v>
      </c>
      <c r="HH180" s="21">
        <f>EXP(-LN(2)/25)*HH179+(1-EXP(-LN(2)/25))/(LN(2)/25)*Calculateur!HC180*Calculateur!HE180*VLOOKUP('Données projet'!$B$18,Paramètres!$A$1:$I$89,3,0)*0.475*44/12</f>
        <v>0.17460732843507737</v>
      </c>
      <c r="HI180" s="21">
        <f>EXP(-LN(2)/2)*HI179+(1-EXP(-LN(2)/2))/(LN(2)/2)*HC180*HF180*VLOOKUP('Données projet'!$B$18,Paramètres!$A$1:$I$89,3,0)*0.475*44/12</f>
        <v>8.0569466003800159E-22</v>
      </c>
      <c r="HJ180" s="22">
        <f t="shared" si="190"/>
        <v>0.17460732843507737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-1.0286385077051818E-13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237.22177246688199</v>
      </c>
      <c r="T181" s="59">
        <f t="shared" si="142"/>
        <v>149.27472147904302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5.1297385643595102E-2</v>
      </c>
      <c r="AB181" s="21">
        <f>EXP(-LN(2)/2)*AB180+(1-EXP(-LN(2)/2))/(LN(2)/2)*V181*Y181*VLOOKUP('Données projet'!$B$9,Paramètres!$A$1:$I$89,3,0)*0.475*44/12</f>
        <v>3.2766134716991194E-22</v>
      </c>
      <c r="AC181" s="22">
        <f t="shared" si="163"/>
        <v>5.1297385643595102E-2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-1.1527845344971866E-13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279.20364724206644</v>
      </c>
      <c r="AO181" s="59">
        <f t="shared" si="144"/>
        <v>173.99850582760712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5.7488449428166874E-2</v>
      </c>
      <c r="AW181" s="21">
        <f>EXP(-LN(2)/2)*AW180+(1-EXP(-LN(2)/2))/(LN(2)/2)*AQ181*AT181*VLOOKUP('Données projet'!$B$10,Paramètres!$A$1:$I$89,3,0)*0.475*44/12</f>
        <v>3.6720668217317711E-22</v>
      </c>
      <c r="AX181" s="21">
        <f t="shared" si="166"/>
        <v>5.7488449428166874E-2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-5.3205440053716299E-14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215.23235148064941</v>
      </c>
      <c r="BJ181" s="59">
        <f t="shared" si="146"/>
        <v>184.07239726900434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0.16720634028650569</v>
      </c>
      <c r="BQ181" s="21">
        <f>EXP(-LN(2)/25)*BQ180+(1-EXP(-LN(2)/25))/(LN(2)/25)*Calculateur!BL181*Calculateur!BN181*VLOOKUP('Données projet'!$B$11,Paramètres!$A$1:$I$89,3,0)*0.475*44/12</f>
        <v>0.12974011779933892</v>
      </c>
      <c r="BR181" s="21">
        <f>EXP(-LN(2)/2)*BR180+(1-EXP(-LN(2)/2))/(LN(2)/2)*BL181*BO181*VLOOKUP('Données projet'!$B$11,Paramètres!$A$1:$I$89,3,0)*0.475*44/12</f>
        <v>5.2051108887684545E-22</v>
      </c>
      <c r="BS181" s="22">
        <f t="shared" si="169"/>
        <v>0.29694645808584463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-1.223725121235475E-13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303.1504619632214</v>
      </c>
      <c r="CE181" s="59">
        <f t="shared" si="148"/>
        <v>188.09929616366503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6.102620016220793E-2</v>
      </c>
      <c r="CM181" s="21">
        <f>EXP(-LN(2)/2)*CM180+(1-EXP(-LN(2)/2))/(LN(2)/2)*CG181*CJ181*VLOOKUP('Données projet'!$B$12,Paramètres!$A$1:$I$89,3,0)*0.475*44/12</f>
        <v>3.8980401646075798E-22</v>
      </c>
      <c r="CN181" s="22">
        <f t="shared" si="172"/>
        <v>6.102620016220793E-2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5.6843418860808015E-14</v>
      </c>
      <c r="CU181" s="17">
        <f>CT181*VLOOKUP('Données projet'!$B$13,Paramètres!$A$1:$I$89,3,0)*VLOOKUP('Données projet'!$B$13,Paramètres!$A$1:$I$89,5,0)</f>
        <v>3.813056537183002E-14</v>
      </c>
      <c r="CV181" s="13">
        <f t="shared" si="173"/>
        <v>6.4086286045526829E-13</v>
      </c>
      <c r="CW181" s="20">
        <f t="shared" si="174"/>
        <v>1.1825802166488628E-12</v>
      </c>
      <c r="CX181" s="59">
        <f t="shared" si="122"/>
        <v>293.33333333333451</v>
      </c>
      <c r="CY181" s="59">
        <f ca="1">AVERAGE(OFFSET($CX$3,0,0,'Données projet'!$E$13+1,1))-AVERAGE(OFFSET($H$3,0,0,'Données projet'!$E$13+1,1))</f>
        <v>156.63226020379989</v>
      </c>
      <c r="CZ181" s="59">
        <f t="shared" si="150"/>
        <v>196.0481096619543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0.14319226117339734</v>
      </c>
      <c r="DH181" s="21">
        <f>EXP(-LN(2)/2)*DH180+(1-EXP(-LN(2)/2))/(LN(2)/2)*DB181*DE181*VLOOKUP('Données projet'!$B$13,Paramètres!$A$1:$I$89,3,0)*0.475*44/12</f>
        <v>4.803455447094588E-22</v>
      </c>
      <c r="DI181" s="22">
        <f t="shared" si="175"/>
        <v>0.14319226117339734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-8.5265128291212022E-14</v>
      </c>
      <c r="DP181" s="17">
        <f>DO181*VLOOKUP('Données projet'!$B$14,Paramètres!$A$1:$I$89,3,0)*VLOOKUP('Données projet'!$B$14,Paramètres!$A$1:$I$89,5,0)</f>
        <v>-7.7147888077888636E-14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225.28075317732998</v>
      </c>
      <c r="DU181" s="59">
        <f t="shared" si="152"/>
        <v>358.43407531256207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0.1196751271051634</v>
      </c>
      <c r="EB181" s="21">
        <f>EXP(-LN(2)/25)*EB180+(1-EXP(-LN(2)/25))/(LN(2)/25)*Calculateur!DW181*Calculateur!DY181*VLOOKUP('Données projet'!$B$14,Paramètres!$A$1:$I$89,3,0)*0.475*44/12</f>
        <v>0.1366205178651719</v>
      </c>
      <c r="EC181" s="21">
        <f>EXP(-LN(2)/2)*EC180+(1-EXP(-LN(2)/2))/(LN(2)/2)*DW181*DZ181*VLOOKUP('Données projet'!$B$14,Paramètres!$A$1:$I$89,3,0)*0.475*44/12</f>
        <v>2.3367633214095928E-22</v>
      </c>
      <c r="ED181" s="22">
        <f t="shared" si="178"/>
        <v>0.2562956449703353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-5.6843418860808015E-13</v>
      </c>
      <c r="EK181" s="17">
        <f>EJ181*VLOOKUP('Données projet'!$B$15,Paramètres!$A$1:$I$89,3,0)*VLOOKUP('Données projet'!$B$15,Paramètres!$A$1:$I$89,5,0)</f>
        <v>-3.177547114319168E-13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326.31232746914907</v>
      </c>
      <c r="EP181" s="59">
        <f t="shared" si="154"/>
        <v>330.17137761430297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0.243665497101129</v>
      </c>
      <c r="EW181" s="21">
        <f>EXP(-LN(2)/25)*EW180+(1-EXP(-LN(2)/25))/(LN(2)/25)*Calculateur!ER181*Calculateur!ET181*VLOOKUP('Données projet'!$B$15,Paramètres!$A$1:$I$89,3,0)*0.475*44/12</f>
        <v>0.49833360401199245</v>
      </c>
      <c r="EX181" s="21">
        <f>EXP(-LN(2)/2)*EX180+(1-EXP(-LN(2)/2))/(LN(2)/2)*ER181*EU181*VLOOKUP('Données projet'!$B$15,Paramètres!$A$1:$I$89,3,0)*0.475*44/12</f>
        <v>1.7217050227046605E-21</v>
      </c>
      <c r="EY181" s="22">
        <f t="shared" si="181"/>
        <v>0.74199910111312151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255.41017495879987</v>
      </c>
      <c r="FK181" s="59">
        <f t="shared" si="156"/>
        <v>297.50513563712764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0.44508877271749536</v>
      </c>
      <c r="FR181" s="21">
        <f>EXP(-LN(2)/25)*FR180+(1-EXP(-LN(2)/25))/(LN(2)/25)*Calculateur!FM181*Calculateur!FO181*VLOOKUP('Données projet'!$B$16,Paramètres!$A$1:$I$89,3,0)*0.475*44/12</f>
        <v>0.46029613995907054</v>
      </c>
      <c r="FS181" s="21">
        <f>EXP(-LN(2)/2)*FS180+(1-EXP(-LN(2)/2))/(LN(2)/2)*FM181*FP181*VLOOKUP('Données projet'!$B$16,Paramètres!$A$1:$I$89,3,0)*0.475*44/12</f>
        <v>1.2917883028258738E-21</v>
      </c>
      <c r="FT181" s="22">
        <f t="shared" si="184"/>
        <v>0.90538491267656585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1.1368683772161603E-13</v>
      </c>
      <c r="GA181" s="17">
        <f>FZ181*VLOOKUP('Données projet'!$B$17,Paramètres!$A$1:$I$89,3,0)*VLOOKUP('Données projet'!$B$17,Paramètres!$A$1:$I$89,5,0)</f>
        <v>6.7984728957526396E-14</v>
      </c>
      <c r="GB181" s="13">
        <f t="shared" si="185"/>
        <v>1.0682447123141398E-12</v>
      </c>
      <c r="GC181" s="20">
        <f t="shared" si="186"/>
        <v>1.978932943548152E-12</v>
      </c>
      <c r="GD181" s="59">
        <f t="shared" si="134"/>
        <v>293.3333333333353</v>
      </c>
      <c r="GE181" s="59">
        <f ca="1">AVERAGE(OFFSET($GD$3,0,0,'Données projet'!$E$17+1,1))-AVERAGE(OFFSET($H$3,0,0,'Données projet'!$E$17+1,1))</f>
        <v>259.30247982593914</v>
      </c>
      <c r="GF181" s="59">
        <f t="shared" si="158"/>
        <v>275.24740346220779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</v>
      </c>
      <c r="GM181" s="21">
        <f>EXP(-LN(2)/25)*GM180+(1-EXP(-LN(2)/25))/(LN(2)/25)*Calculateur!GH181*Calculateur!GJ181*VLOOKUP('Données projet'!$B$17,Paramètres!$A$1:$I$89,3,0)*0.475*44/12</f>
        <v>0.29783156407031613</v>
      </c>
      <c r="GN181" s="21">
        <f>EXP(-LN(2)/2)*GN180+(1-EXP(-LN(2)/2))/(LN(2)/2)*GH181*GK181*VLOOKUP('Données projet'!$B$17,Paramètres!$A$1:$I$89,3,0)*0.475*44/12</f>
        <v>1.5183314491740138E-21</v>
      </c>
      <c r="GO181" s="21">
        <f t="shared" si="187"/>
        <v>0.29783156407031613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5.6843418860808015E-14</v>
      </c>
      <c r="GV181" s="17">
        <f>GU181*VLOOKUP('Données projet'!$B$18,Paramètres!$A$1:$I$89,3,0)*VLOOKUP('Données projet'!$B$18,Paramètres!$A$1:$I$89,5,0)</f>
        <v>4.5224624045658861E-14</v>
      </c>
      <c r="GW181" s="13">
        <f t="shared" si="188"/>
        <v>7.4514601661523691E-13</v>
      </c>
      <c r="GX181" s="20">
        <f t="shared" si="189"/>
        <v>1.3765621991510601E-12</v>
      </c>
      <c r="GY181" s="59">
        <f t="shared" si="137"/>
        <v>293.33333333333468</v>
      </c>
      <c r="GZ181" s="59">
        <f ca="1">AVERAGE(OFFSET($GY$3,0,0,'Données projet'!$E$18+1,1))-AVERAGE(OFFSET($H$3,0,0,'Données projet'!$E$18+1,1))</f>
        <v>199.58763537752952</v>
      </c>
      <c r="HA181" s="59">
        <f t="shared" si="160"/>
        <v>242.62852778451929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0</v>
      </c>
      <c r="HH181" s="21">
        <f>EXP(-LN(2)/25)*HH180+(1-EXP(-LN(2)/25))/(LN(2)/25)*Calculateur!HC181*Calculateur!HE181*VLOOKUP('Données projet'!$B$18,Paramètres!$A$1:$I$89,3,0)*0.475*44/12</f>
        <v>0.16983268185681985</v>
      </c>
      <c r="HI181" s="21">
        <f>EXP(-LN(2)/2)*HI180+(1-EXP(-LN(2)/2))/(LN(2)/2)*HC181*HF181*VLOOKUP('Données projet'!$B$18,Paramètres!$A$1:$I$89,3,0)*0.475*44/12</f>
        <v>5.6971215767866098E-22</v>
      </c>
      <c r="HJ181" s="22">
        <f t="shared" si="190"/>
        <v>0.16983268185681985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-1.0286385077051818E-13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237.22177246688199</v>
      </c>
      <c r="T182" s="59">
        <f t="shared" si="142"/>
        <v>149.27472147904302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4.9894655935558724E-2</v>
      </c>
      <c r="AB182" s="21">
        <f>EXP(-LN(2)/2)*AB181+(1-EXP(-LN(2)/2))/(LN(2)/2)*V182*Y182*VLOOKUP('Données projet'!$B$9,Paramètres!$A$1:$I$89,3,0)*0.475*44/12</f>
        <v>2.316915605165643E-22</v>
      </c>
      <c r="AC182" s="22">
        <f t="shared" si="163"/>
        <v>4.9894655935558724E-2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-1.1527845344971866E-13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279.20364724206644</v>
      </c>
      <c r="AO182" s="59">
        <f t="shared" si="144"/>
        <v>173.99850582760712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5.591642475536749E-2</v>
      </c>
      <c r="AW182" s="21">
        <f>EXP(-LN(2)/2)*AW181+(1-EXP(-LN(2)/2))/(LN(2)/2)*AQ182*AT182*VLOOKUP('Données projet'!$B$10,Paramètres!$A$1:$I$89,3,0)*0.475*44/12</f>
        <v>2.5965433506166685E-22</v>
      </c>
      <c r="AX182" s="21">
        <f t="shared" si="166"/>
        <v>5.591642475536749E-2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-5.3205440053716299E-14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215.23235148064941</v>
      </c>
      <c r="BJ182" s="59">
        <f t="shared" si="146"/>
        <v>184.07239726900434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0.16392752593928461</v>
      </c>
      <c r="BQ182" s="21">
        <f>EXP(-LN(2)/25)*BQ181+(1-EXP(-LN(2)/25))/(LN(2)/25)*Calculateur!BL182*Calculateur!BN182*VLOOKUP('Données projet'!$B$11,Paramètres!$A$1:$I$89,3,0)*0.475*44/12</f>
        <v>0.12619236745537973</v>
      </c>
      <c r="BR182" s="21">
        <f>EXP(-LN(2)/2)*BR181+(1-EXP(-LN(2)/2))/(LN(2)/2)*BL182*BO182*VLOOKUP('Données projet'!$B$11,Paramètres!$A$1:$I$89,3,0)*0.475*44/12</f>
        <v>3.6805692062761116E-22</v>
      </c>
      <c r="BS182" s="22">
        <f t="shared" si="169"/>
        <v>0.29011989339466437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-1.223725121235475E-13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303.1504619632214</v>
      </c>
      <c r="CE182" s="59">
        <f t="shared" si="148"/>
        <v>188.09929616366503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5.9357435509543963E-2</v>
      </c>
      <c r="CM182" s="21">
        <f>EXP(-LN(2)/2)*CM181+(1-EXP(-LN(2)/2))/(LN(2)/2)*CG182*CJ182*VLOOKUP('Données projet'!$B$12,Paramètres!$A$1:$I$89,3,0)*0.475*44/12</f>
        <v>2.7563306337315456E-22</v>
      </c>
      <c r="CN182" s="22">
        <f t="shared" si="172"/>
        <v>5.9357435509543963E-2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5.6843418860808015E-14</v>
      </c>
      <c r="CU182" s="17">
        <f>CT182*VLOOKUP('Données projet'!$B$13,Paramètres!$A$1:$I$89,3,0)*VLOOKUP('Données projet'!$B$13,Paramètres!$A$1:$I$89,5,0)</f>
        <v>3.813056537183002E-14</v>
      </c>
      <c r="CV182" s="13">
        <f t="shared" si="173"/>
        <v>6.4086286045526829E-13</v>
      </c>
      <c r="CW182" s="20">
        <f t="shared" si="174"/>
        <v>1.1825802166488628E-12</v>
      </c>
      <c r="CX182" s="59">
        <f t="shared" si="122"/>
        <v>293.33333333333451</v>
      </c>
      <c r="CY182" s="59">
        <f ca="1">AVERAGE(OFFSET($CX$3,0,0,'Données projet'!$E$13+1,1))-AVERAGE(OFFSET($H$3,0,0,'Données projet'!$E$13+1,1))</f>
        <v>156.63226020379989</v>
      </c>
      <c r="CZ182" s="59">
        <f t="shared" si="150"/>
        <v>196.0481096619543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0.13927666126145705</v>
      </c>
      <c r="DH182" s="21">
        <f>EXP(-LN(2)/2)*DH181+(1-EXP(-LN(2)/2))/(LN(2)/2)*DB182*DE182*VLOOKUP('Données projet'!$B$13,Paramètres!$A$1:$I$89,3,0)*0.475*44/12</f>
        <v>3.3965559197680427E-22</v>
      </c>
      <c r="DI182" s="22">
        <f t="shared" si="175"/>
        <v>0.13927666126145705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-8.5265128291212022E-14</v>
      </c>
      <c r="DP182" s="17">
        <f>DO182*VLOOKUP('Données projet'!$B$14,Paramètres!$A$1:$I$89,3,0)*VLOOKUP('Données projet'!$B$14,Paramètres!$A$1:$I$89,5,0)</f>
        <v>-7.7147888077888636E-14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225.28075317732998</v>
      </c>
      <c r="DU182" s="59">
        <f t="shared" si="152"/>
        <v>358.43407531256207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0.11732837085725106</v>
      </c>
      <c r="EB182" s="21">
        <f>EXP(-LN(2)/25)*EB181+(1-EXP(-LN(2)/25))/(LN(2)/25)*Calculateur!DW182*Calculateur!DY182*VLOOKUP('Données projet'!$B$14,Paramètres!$A$1:$I$89,3,0)*0.475*44/12</f>
        <v>0.132884622619588</v>
      </c>
      <c r="EC182" s="21">
        <f>EXP(-LN(2)/2)*EC181+(1-EXP(-LN(2)/2))/(LN(2)/2)*DW182*DZ182*VLOOKUP('Données projet'!$B$14,Paramètres!$A$1:$I$89,3,0)*0.475*44/12</f>
        <v>1.652341190596723E-22</v>
      </c>
      <c r="ED182" s="22">
        <f t="shared" si="178"/>
        <v>0.25021299347683906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-5.6843418860808015E-13</v>
      </c>
      <c r="EK182" s="17">
        <f>EJ182*VLOOKUP('Données projet'!$B$15,Paramètres!$A$1:$I$89,3,0)*VLOOKUP('Données projet'!$B$15,Paramètres!$A$1:$I$89,5,0)</f>
        <v>-3.177547114319168E-13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326.31232746914907</v>
      </c>
      <c r="EP182" s="59">
        <f t="shared" si="154"/>
        <v>330.17137761430297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0.23888736532425398</v>
      </c>
      <c r="EW182" s="21">
        <f>EXP(-LN(2)/25)*EW181+(1-EXP(-LN(2)/25))/(LN(2)/25)*Calculateur!ER182*Calculateur!ET182*VLOOKUP('Données projet'!$B$15,Paramètres!$A$1:$I$89,3,0)*0.475*44/12</f>
        <v>0.48470664540405922</v>
      </c>
      <c r="EX182" s="21">
        <f>EXP(-LN(2)/2)*EX181+(1-EXP(-LN(2)/2))/(LN(2)/2)*ER182*EU182*VLOOKUP('Données projet'!$B$15,Paramètres!$A$1:$I$89,3,0)*0.475*44/12</f>
        <v>1.2174292967574042E-21</v>
      </c>
      <c r="EY182" s="22">
        <f t="shared" si="181"/>
        <v>0.7235940107283132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255.41017495879987</v>
      </c>
      <c r="FK182" s="59">
        <f t="shared" si="156"/>
        <v>297.50513563712764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0.43636085336185049</v>
      </c>
      <c r="FR182" s="21">
        <f>EXP(-LN(2)/25)*FR181+(1-EXP(-LN(2)/25))/(LN(2)/25)*Calculateur!FM182*Calculateur!FO182*VLOOKUP('Données projet'!$B$16,Paramètres!$A$1:$I$89,3,0)*0.475*44/12</f>
        <v>0.44770931780596779</v>
      </c>
      <c r="FS182" s="21">
        <f>EXP(-LN(2)/2)*FS181+(1-EXP(-LN(2)/2))/(LN(2)/2)*FM182*FP182*VLOOKUP('Données projet'!$B$16,Paramètres!$A$1:$I$89,3,0)*0.475*44/12</f>
        <v>9.1343226878563674E-22</v>
      </c>
      <c r="FT182" s="22">
        <f t="shared" si="184"/>
        <v>0.88407017116781828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1.1368683772161603E-13</v>
      </c>
      <c r="GA182" s="17">
        <f>FZ182*VLOOKUP('Données projet'!$B$17,Paramètres!$A$1:$I$89,3,0)*VLOOKUP('Données projet'!$B$17,Paramètres!$A$1:$I$89,5,0)</f>
        <v>6.7984728957526396E-14</v>
      </c>
      <c r="GB182" s="13">
        <f t="shared" si="185"/>
        <v>1.0682447123141398E-12</v>
      </c>
      <c r="GC182" s="20">
        <f t="shared" si="186"/>
        <v>1.978932943548152E-12</v>
      </c>
      <c r="GD182" s="59">
        <f t="shared" si="134"/>
        <v>293.3333333333353</v>
      </c>
      <c r="GE182" s="59">
        <f ca="1">AVERAGE(OFFSET($GD$3,0,0,'Données projet'!$E$17+1,1))-AVERAGE(OFFSET($H$3,0,0,'Données projet'!$E$17+1,1))</f>
        <v>259.30247982593914</v>
      </c>
      <c r="GF182" s="59">
        <f t="shared" si="158"/>
        <v>275.24740346220779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</v>
      </c>
      <c r="GM182" s="21">
        <f>EXP(-LN(2)/25)*GM181+(1-EXP(-LN(2)/25))/(LN(2)/25)*Calculateur!GH182*Calculateur!GJ182*VLOOKUP('Données projet'!$B$17,Paramètres!$A$1:$I$89,3,0)*0.475*44/12</f>
        <v>0.2896873442885321</v>
      </c>
      <c r="GN182" s="21">
        <f>EXP(-LN(2)/2)*GN181+(1-EXP(-LN(2)/2))/(LN(2)/2)*GH182*GK182*VLOOKUP('Données projet'!$B$17,Paramètres!$A$1:$I$89,3,0)*0.475*44/12</f>
        <v>1.073622463799743E-21</v>
      </c>
      <c r="GO182" s="21">
        <f t="shared" si="187"/>
        <v>0.2896873442885321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5.6843418860808015E-14</v>
      </c>
      <c r="GV182" s="17">
        <f>GU182*VLOOKUP('Données projet'!$B$18,Paramètres!$A$1:$I$89,3,0)*VLOOKUP('Données projet'!$B$18,Paramètres!$A$1:$I$89,5,0)</f>
        <v>4.5224624045658861E-14</v>
      </c>
      <c r="GW182" s="13">
        <f t="shared" si="188"/>
        <v>7.4514601661523691E-13</v>
      </c>
      <c r="GX182" s="20">
        <f t="shared" si="189"/>
        <v>1.3765621991510601E-12</v>
      </c>
      <c r="GY182" s="59">
        <f t="shared" si="137"/>
        <v>293.33333333333468</v>
      </c>
      <c r="GZ182" s="59">
        <f ca="1">AVERAGE(OFFSET($GY$3,0,0,'Données projet'!$E$18+1,1))-AVERAGE(OFFSET($H$3,0,0,'Données projet'!$E$18+1,1))</f>
        <v>199.58763537752952</v>
      </c>
      <c r="HA182" s="59">
        <f t="shared" si="160"/>
        <v>242.62852778451929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0</v>
      </c>
      <c r="HH182" s="21">
        <f>EXP(-LN(2)/25)*HH181+(1-EXP(-LN(2)/25))/(LN(2)/25)*Calculateur!HC182*Calculateur!HE182*VLOOKUP('Données projet'!$B$18,Paramètres!$A$1:$I$89,3,0)*0.475*44/12</f>
        <v>0.16518859824033252</v>
      </c>
      <c r="HI182" s="21">
        <f>EXP(-LN(2)/2)*HI181+(1-EXP(-LN(2)/2))/(LN(2)/2)*HC182*HF182*VLOOKUP('Données projet'!$B$18,Paramètres!$A$1:$I$89,3,0)*0.475*44/12</f>
        <v>4.0284733001900079E-22</v>
      </c>
      <c r="HJ182" s="22">
        <f t="shared" si="190"/>
        <v>0.16518859824033252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-1.0286385077051818E-13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237.22177246688199</v>
      </c>
      <c r="T183" s="59">
        <f t="shared" si="142"/>
        <v>149.27472147904302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4.8530283945154948E-2</v>
      </c>
      <c r="AB183" s="21">
        <f>EXP(-LN(2)/2)*AB182+(1-EXP(-LN(2)/2))/(LN(2)/2)*V183*Y183*VLOOKUP('Données projet'!$B$9,Paramètres!$A$1:$I$89,3,0)*0.475*44/12</f>
        <v>1.6383067358495597E-22</v>
      </c>
      <c r="AC183" s="22">
        <f t="shared" si="163"/>
        <v>4.8530283945154948E-2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-1.1527845344971866E-13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279.20364724206644</v>
      </c>
      <c r="AO183" s="59">
        <f t="shared" si="144"/>
        <v>173.99850582760712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5.4387387179914988E-2</v>
      </c>
      <c r="AW183" s="21">
        <f>EXP(-LN(2)/2)*AW182+(1-EXP(-LN(2)/2))/(LN(2)/2)*AQ183*AT183*VLOOKUP('Données projet'!$B$10,Paramètres!$A$1:$I$89,3,0)*0.475*44/12</f>
        <v>1.8360334108658856E-22</v>
      </c>
      <c r="AX183" s="21">
        <f t="shared" si="166"/>
        <v>5.4387387179914988E-2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-5.3205440053716299E-14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215.23235148064941</v>
      </c>
      <c r="BJ183" s="59">
        <f t="shared" si="146"/>
        <v>184.07239726900434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0.16071300714153328</v>
      </c>
      <c r="BQ183" s="21">
        <f>EXP(-LN(2)/25)*BQ182+(1-EXP(-LN(2)/25))/(LN(2)/25)*Calculateur!BL183*Calculateur!BN183*VLOOKUP('Données projet'!$B$11,Paramètres!$A$1:$I$89,3,0)*0.475*44/12</f>
        <v>0.12274163053114419</v>
      </c>
      <c r="BR183" s="21">
        <f>EXP(-LN(2)/2)*BR182+(1-EXP(-LN(2)/2))/(LN(2)/2)*BL183*BO183*VLOOKUP('Données projet'!$B$11,Paramètres!$A$1:$I$89,3,0)*0.475*44/12</f>
        <v>2.6025554443842273E-22</v>
      </c>
      <c r="BS183" s="22">
        <f t="shared" si="169"/>
        <v>0.28345463767267748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-1.223725121235475E-13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303.1504619632214</v>
      </c>
      <c r="CE183" s="59">
        <f t="shared" si="148"/>
        <v>188.09929616366503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5.7734303314063616E-2</v>
      </c>
      <c r="CM183" s="21">
        <f>EXP(-LN(2)/2)*CM182+(1-EXP(-LN(2)/2))/(LN(2)/2)*CG183*CJ183*VLOOKUP('Données projet'!$B$12,Paramètres!$A$1:$I$89,3,0)*0.475*44/12</f>
        <v>1.9490200823037899E-22</v>
      </c>
      <c r="CN183" s="22">
        <f t="shared" si="172"/>
        <v>5.7734303314063616E-2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5.6843418860808015E-14</v>
      </c>
      <c r="CU183" s="17">
        <f>CT183*VLOOKUP('Données projet'!$B$13,Paramètres!$A$1:$I$89,3,0)*VLOOKUP('Données projet'!$B$13,Paramètres!$A$1:$I$89,5,0)</f>
        <v>3.813056537183002E-14</v>
      </c>
      <c r="CV183" s="13">
        <f t="shared" si="173"/>
        <v>6.4086286045526829E-13</v>
      </c>
      <c r="CW183" s="20">
        <f t="shared" si="174"/>
        <v>1.1825802166488628E-12</v>
      </c>
      <c r="CX183" s="59">
        <f t="shared" si="122"/>
        <v>293.33333333333451</v>
      </c>
      <c r="CY183" s="59">
        <f ca="1">AVERAGE(OFFSET($CX$3,0,0,'Données projet'!$E$13+1,1))-AVERAGE(OFFSET($H$3,0,0,'Données projet'!$E$13+1,1))</f>
        <v>156.63226020379989</v>
      </c>
      <c r="CZ183" s="59">
        <f t="shared" si="150"/>
        <v>196.0481096619543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0.13546813363502122</v>
      </c>
      <c r="DH183" s="21">
        <f>EXP(-LN(2)/2)*DH182+(1-EXP(-LN(2)/2))/(LN(2)/2)*DB183*DE183*VLOOKUP('Données projet'!$B$13,Paramètres!$A$1:$I$89,3,0)*0.475*44/12</f>
        <v>2.401727723547294E-22</v>
      </c>
      <c r="DI183" s="22">
        <f t="shared" si="175"/>
        <v>0.13546813363502122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-8.5265128291212022E-14</v>
      </c>
      <c r="DP183" s="17">
        <f>DO183*VLOOKUP('Données projet'!$B$14,Paramètres!$A$1:$I$89,3,0)*VLOOKUP('Données projet'!$B$14,Paramètres!$A$1:$I$89,5,0)</f>
        <v>-7.7147888077888636E-14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225.28075317732998</v>
      </c>
      <c r="DU183" s="59">
        <f t="shared" si="152"/>
        <v>358.43407531256207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0.11502763306798031</v>
      </c>
      <c r="EB183" s="21">
        <f>EXP(-LN(2)/25)*EB182+(1-EXP(-LN(2)/25))/(LN(2)/25)*Calculateur!DW183*Calculateur!DY183*VLOOKUP('Données projet'!$B$14,Paramètres!$A$1:$I$89,3,0)*0.475*44/12</f>
        <v>0.12925088562595677</v>
      </c>
      <c r="EC183" s="21">
        <f>EXP(-LN(2)/2)*EC182+(1-EXP(-LN(2)/2))/(LN(2)/2)*DW183*DZ183*VLOOKUP('Données projet'!$B$14,Paramètres!$A$1:$I$89,3,0)*0.475*44/12</f>
        <v>1.1683816607047964E-22</v>
      </c>
      <c r="ED183" s="22">
        <f t="shared" si="178"/>
        <v>0.24427851869393707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-5.6843418860808015E-13</v>
      </c>
      <c r="EK183" s="17">
        <f>EJ183*VLOOKUP('Données projet'!$B$15,Paramètres!$A$1:$I$89,3,0)*VLOOKUP('Données projet'!$B$15,Paramètres!$A$1:$I$89,5,0)</f>
        <v>-3.177547114319168E-13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326.31232746914907</v>
      </c>
      <c r="EP183" s="59">
        <f t="shared" si="154"/>
        <v>330.17137761430297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0.23420292979715085</v>
      </c>
      <c r="EW183" s="21">
        <f>EXP(-LN(2)/25)*EW182+(1-EXP(-LN(2)/25))/(LN(2)/25)*Calculateur!ER183*Calculateur!ET183*VLOOKUP('Données projet'!$B$15,Paramètres!$A$1:$I$89,3,0)*0.475*44/12</f>
        <v>0.47145231669587057</v>
      </c>
      <c r="EX183" s="21">
        <f>EXP(-LN(2)/2)*EX182+(1-EXP(-LN(2)/2))/(LN(2)/2)*ER183*EU183*VLOOKUP('Données projet'!$B$15,Paramètres!$A$1:$I$89,3,0)*0.475*44/12</f>
        <v>8.6085251135233027E-22</v>
      </c>
      <c r="EY183" s="22">
        <f t="shared" si="181"/>
        <v>0.70565524649302147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255.41017495879987</v>
      </c>
      <c r="FK183" s="59">
        <f t="shared" si="156"/>
        <v>297.50513563712764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0.42780408318126462</v>
      </c>
      <c r="FR183" s="21">
        <f>EXP(-LN(2)/25)*FR182+(1-EXP(-LN(2)/25))/(LN(2)/25)*Calculateur!FM183*Calculateur!FO183*VLOOKUP('Données projet'!$B$16,Paramètres!$A$1:$I$89,3,0)*0.475*44/12</f>
        <v>0.43546668296655383</v>
      </c>
      <c r="FS183" s="21">
        <f>EXP(-LN(2)/2)*FS182+(1-EXP(-LN(2)/2))/(LN(2)/2)*FM183*FP183*VLOOKUP('Données projet'!$B$16,Paramètres!$A$1:$I$89,3,0)*0.475*44/12</f>
        <v>6.4589415141293692E-22</v>
      </c>
      <c r="FT183" s="22">
        <f t="shared" si="184"/>
        <v>0.8632707661478185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1.1368683772161603E-13</v>
      </c>
      <c r="GA183" s="17">
        <f>FZ183*VLOOKUP('Données projet'!$B$17,Paramètres!$A$1:$I$89,3,0)*VLOOKUP('Données projet'!$B$17,Paramètres!$A$1:$I$89,5,0)</f>
        <v>6.7984728957526396E-14</v>
      </c>
      <c r="GB183" s="13">
        <f t="shared" si="185"/>
        <v>1.0682447123141398E-12</v>
      </c>
      <c r="GC183" s="20">
        <f t="shared" si="186"/>
        <v>1.978932943548152E-12</v>
      </c>
      <c r="GD183" s="59">
        <f t="shared" si="134"/>
        <v>293.3333333333353</v>
      </c>
      <c r="GE183" s="59">
        <f ca="1">AVERAGE(OFFSET($GD$3,0,0,'Données projet'!$E$17+1,1))-AVERAGE(OFFSET($H$3,0,0,'Données projet'!$E$17+1,1))</f>
        <v>259.30247982593914</v>
      </c>
      <c r="GF183" s="59">
        <f t="shared" si="158"/>
        <v>275.24740346220779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</v>
      </c>
      <c r="GM183" s="21">
        <f>EXP(-LN(2)/25)*GM182+(1-EXP(-LN(2)/25))/(LN(2)/25)*Calculateur!GH183*Calculateur!GJ183*VLOOKUP('Données projet'!$B$17,Paramètres!$A$1:$I$89,3,0)*0.475*44/12</f>
        <v>0.28176582862496685</v>
      </c>
      <c r="GN183" s="21">
        <f>EXP(-LN(2)/2)*GN182+(1-EXP(-LN(2)/2))/(LN(2)/2)*GH183*GK183*VLOOKUP('Données projet'!$B$17,Paramètres!$A$1:$I$89,3,0)*0.475*44/12</f>
        <v>7.5916572458700691E-22</v>
      </c>
      <c r="GO183" s="21">
        <f t="shared" si="187"/>
        <v>0.28176582862496685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5.6843418860808015E-14</v>
      </c>
      <c r="GV183" s="17">
        <f>GU183*VLOOKUP('Données projet'!$B$18,Paramètres!$A$1:$I$89,3,0)*VLOOKUP('Données projet'!$B$18,Paramètres!$A$1:$I$89,5,0)</f>
        <v>4.5224624045658861E-14</v>
      </c>
      <c r="GW183" s="13">
        <f t="shared" si="188"/>
        <v>7.4514601661523691E-13</v>
      </c>
      <c r="GX183" s="20">
        <f t="shared" si="189"/>
        <v>1.3765621991510601E-12</v>
      </c>
      <c r="GY183" s="59">
        <f t="shared" si="137"/>
        <v>293.33333333333468</v>
      </c>
      <c r="GZ183" s="59">
        <f ca="1">AVERAGE(OFFSET($GY$3,0,0,'Données projet'!$E$18+1,1))-AVERAGE(OFFSET($H$3,0,0,'Données projet'!$E$18+1,1))</f>
        <v>199.58763537752952</v>
      </c>
      <c r="HA183" s="59">
        <f t="shared" si="160"/>
        <v>242.62852778451929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0</v>
      </c>
      <c r="HH183" s="21">
        <f>EXP(-LN(2)/25)*HH182+(1-EXP(-LN(2)/25))/(LN(2)/25)*Calculateur!HC183*Calculateur!HE183*VLOOKUP('Données projet'!$B$18,Paramètres!$A$1:$I$89,3,0)*0.475*44/12</f>
        <v>0.16067150733455979</v>
      </c>
      <c r="HI183" s="21">
        <f>EXP(-LN(2)/2)*HI182+(1-EXP(-LN(2)/2))/(LN(2)/2)*HC183*HF183*VLOOKUP('Données projet'!$B$18,Paramètres!$A$1:$I$89,3,0)*0.475*44/12</f>
        <v>2.8485607883933049E-22</v>
      </c>
      <c r="HJ183" s="22">
        <f t="shared" si="190"/>
        <v>0.16067150733455979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-1.0286385077051818E-13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237.22177246688199</v>
      </c>
      <c r="T184" s="59">
        <f t="shared" si="142"/>
        <v>149.27472147904302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4.720322077857797E-2</v>
      </c>
      <c r="AB184" s="21">
        <f>EXP(-LN(2)/2)*AB183+(1-EXP(-LN(2)/2))/(LN(2)/2)*V184*Y184*VLOOKUP('Données projet'!$B$9,Paramètres!$A$1:$I$89,3,0)*0.475*44/12</f>
        <v>1.1584578025828215E-22</v>
      </c>
      <c r="AC184" s="22">
        <f t="shared" si="163"/>
        <v>4.720322077857797E-2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-1.1527845344971866E-13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279.20364724206644</v>
      </c>
      <c r="AO184" s="59">
        <f t="shared" si="144"/>
        <v>173.99850582760712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5.2900161217371823E-2</v>
      </c>
      <c r="AW184" s="21">
        <f>EXP(-LN(2)/2)*AW183+(1-EXP(-LN(2)/2))/(LN(2)/2)*AQ184*AT184*VLOOKUP('Données projet'!$B$10,Paramètres!$A$1:$I$89,3,0)*0.475*44/12</f>
        <v>1.2982716753083343E-22</v>
      </c>
      <c r="AX184" s="21">
        <f t="shared" si="166"/>
        <v>5.2900161217371823E-2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-5.3205440053716299E-14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215.23235148064941</v>
      </c>
      <c r="BJ184" s="59">
        <f t="shared" si="146"/>
        <v>184.07239726900434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0.15756152309674298</v>
      </c>
      <c r="BQ184" s="21">
        <f>EXP(-LN(2)/25)*BQ183+(1-EXP(-LN(2)/25))/(LN(2)/25)*Calculateur!BL184*Calculateur!BN184*VLOOKUP('Données projet'!$B$11,Paramètres!$A$1:$I$89,3,0)*0.475*44/12</f>
        <v>0.11938525418956823</v>
      </c>
      <c r="BR184" s="21">
        <f>EXP(-LN(2)/2)*BR183+(1-EXP(-LN(2)/2))/(LN(2)/2)*BL184*BO184*VLOOKUP('Données projet'!$B$11,Paramètres!$A$1:$I$89,3,0)*0.475*44/12</f>
        <v>1.8402846031380558E-22</v>
      </c>
      <c r="BS184" s="22">
        <f t="shared" si="169"/>
        <v>0.27694677728631123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-1.223725121235475E-13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303.1504619632214</v>
      </c>
      <c r="CE184" s="59">
        <f t="shared" si="148"/>
        <v>188.09929616366503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5.6155555753825491E-2</v>
      </c>
      <c r="CM184" s="21">
        <f>EXP(-LN(2)/2)*CM183+(1-EXP(-LN(2)/2))/(LN(2)/2)*CG184*CJ184*VLOOKUP('Données projet'!$B$12,Paramètres!$A$1:$I$89,3,0)*0.475*44/12</f>
        <v>1.3781653168657728E-22</v>
      </c>
      <c r="CN184" s="22">
        <f t="shared" si="172"/>
        <v>5.6155555753825491E-2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5.6843418860808015E-14</v>
      </c>
      <c r="CU184" s="17">
        <f>CT184*VLOOKUP('Données projet'!$B$13,Paramètres!$A$1:$I$89,3,0)*VLOOKUP('Données projet'!$B$13,Paramètres!$A$1:$I$89,5,0)</f>
        <v>3.813056537183002E-14</v>
      </c>
      <c r="CV184" s="13">
        <f t="shared" si="173"/>
        <v>6.4086286045526829E-13</v>
      </c>
      <c r="CW184" s="20">
        <f t="shared" si="174"/>
        <v>1.1825802166488628E-12</v>
      </c>
      <c r="CX184" s="59">
        <f t="shared" si="122"/>
        <v>293.33333333333451</v>
      </c>
      <c r="CY184" s="59">
        <f ca="1">AVERAGE(OFFSET($CX$3,0,0,'Données projet'!$E$13+1,1))-AVERAGE(OFFSET($H$3,0,0,'Données projet'!$E$13+1,1))</f>
        <v>156.63226020379989</v>
      </c>
      <c r="CZ184" s="59">
        <f t="shared" si="150"/>
        <v>196.0481096619543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0.13176375039681204</v>
      </c>
      <c r="DH184" s="21">
        <f>EXP(-LN(2)/2)*DH183+(1-EXP(-LN(2)/2))/(LN(2)/2)*DB184*DE184*VLOOKUP('Données projet'!$B$13,Paramètres!$A$1:$I$89,3,0)*0.475*44/12</f>
        <v>1.6982779598840213E-22</v>
      </c>
      <c r="DI184" s="22">
        <f t="shared" si="175"/>
        <v>0.13176375039681204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-8.5265128291212022E-14</v>
      </c>
      <c r="DP184" s="17">
        <f>DO184*VLOOKUP('Données projet'!$B$14,Paramètres!$A$1:$I$89,3,0)*VLOOKUP('Données projet'!$B$14,Paramètres!$A$1:$I$89,5,0)</f>
        <v>-7.7147888077888636E-14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225.28075317732998</v>
      </c>
      <c r="DU184" s="59">
        <f t="shared" si="152"/>
        <v>358.43407531256207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0.11277201134344567</v>
      </c>
      <c r="EB184" s="21">
        <f>EXP(-LN(2)/25)*EB183+(1-EXP(-LN(2)/25))/(LN(2)/25)*Calculateur!DW184*Calculateur!DY184*VLOOKUP('Données projet'!$B$14,Paramètres!$A$1:$I$89,3,0)*0.475*44/12</f>
        <v>0.1257165133615063</v>
      </c>
      <c r="EC184" s="21">
        <f>EXP(-LN(2)/2)*EC183+(1-EXP(-LN(2)/2))/(LN(2)/2)*DW184*DZ184*VLOOKUP('Données projet'!$B$14,Paramètres!$A$1:$I$89,3,0)*0.475*44/12</f>
        <v>8.2617059529836148E-23</v>
      </c>
      <c r="ED184" s="22">
        <f t="shared" si="178"/>
        <v>0.23848852470495197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-5.6843418860808015E-13</v>
      </c>
      <c r="EK184" s="17">
        <f>EJ184*VLOOKUP('Données projet'!$B$15,Paramètres!$A$1:$I$89,3,0)*VLOOKUP('Données projet'!$B$15,Paramètres!$A$1:$I$89,5,0)</f>
        <v>-3.177547114319168E-13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326.31232746914907</v>
      </c>
      <c r="EP184" s="59">
        <f t="shared" si="154"/>
        <v>330.17137761430297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0.22961035319351067</v>
      </c>
      <c r="EW184" s="21">
        <f>EXP(-LN(2)/25)*EW183+(1-EXP(-LN(2)/25))/(LN(2)/25)*Calculateur!ER184*Calculateur!ET184*VLOOKUP('Données projet'!$B$15,Paramètres!$A$1:$I$89,3,0)*0.475*44/12</f>
        <v>0.45856042830322219</v>
      </c>
      <c r="EX184" s="21">
        <f>EXP(-LN(2)/2)*EX183+(1-EXP(-LN(2)/2))/(LN(2)/2)*ER184*EU184*VLOOKUP('Données projet'!$B$15,Paramètres!$A$1:$I$89,3,0)*0.475*44/12</f>
        <v>6.0871464837870211E-22</v>
      </c>
      <c r="EY184" s="22">
        <f t="shared" si="181"/>
        <v>0.68817078149673283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255.41017495879987</v>
      </c>
      <c r="FK184" s="59">
        <f t="shared" si="156"/>
        <v>297.50513563712764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0.41941510604480559</v>
      </c>
      <c r="FR184" s="21">
        <f>EXP(-LN(2)/25)*FR183+(1-EXP(-LN(2)/25))/(LN(2)/25)*Calculateur!FM184*Calculateur!FO184*VLOOKUP('Données projet'!$B$16,Paramètres!$A$1:$I$89,3,0)*0.475*44/12</f>
        <v>0.42355882362063585</v>
      </c>
      <c r="FS184" s="21">
        <f>EXP(-LN(2)/2)*FS183+(1-EXP(-LN(2)/2))/(LN(2)/2)*FM184*FP184*VLOOKUP('Données projet'!$B$16,Paramètres!$A$1:$I$89,3,0)*0.475*44/12</f>
        <v>4.5671613439281837E-22</v>
      </c>
      <c r="FT184" s="22">
        <f t="shared" si="184"/>
        <v>0.84297392966544149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1.1368683772161603E-13</v>
      </c>
      <c r="GA184" s="17">
        <f>FZ184*VLOOKUP('Données projet'!$B$17,Paramètres!$A$1:$I$89,3,0)*VLOOKUP('Données projet'!$B$17,Paramètres!$A$1:$I$89,5,0)</f>
        <v>6.7984728957526396E-14</v>
      </c>
      <c r="GB184" s="13">
        <f t="shared" si="185"/>
        <v>1.0682447123141398E-12</v>
      </c>
      <c r="GC184" s="20">
        <f t="shared" si="186"/>
        <v>1.978932943548152E-12</v>
      </c>
      <c r="GD184" s="59">
        <f t="shared" si="134"/>
        <v>293.3333333333353</v>
      </c>
      <c r="GE184" s="59">
        <f ca="1">AVERAGE(OFFSET($GD$3,0,0,'Données projet'!$E$17+1,1))-AVERAGE(OFFSET($H$3,0,0,'Données projet'!$E$17+1,1))</f>
        <v>259.30247982593914</v>
      </c>
      <c r="GF184" s="59">
        <f t="shared" si="158"/>
        <v>275.24740346220779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</v>
      </c>
      <c r="GM184" s="21">
        <f>EXP(-LN(2)/25)*GM183+(1-EXP(-LN(2)/25))/(LN(2)/25)*Calculateur!GH184*Calculateur!GJ184*VLOOKUP('Données projet'!$B$17,Paramètres!$A$1:$I$89,3,0)*0.475*44/12</f>
        <v>0.27406092722379621</v>
      </c>
      <c r="GN184" s="21">
        <f>EXP(-LN(2)/2)*GN183+(1-EXP(-LN(2)/2))/(LN(2)/2)*GH184*GK184*VLOOKUP('Données projet'!$B$17,Paramètres!$A$1:$I$89,3,0)*0.475*44/12</f>
        <v>5.3681123189987149E-22</v>
      </c>
      <c r="GO184" s="21">
        <f t="shared" si="187"/>
        <v>0.27406092722379621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5.6843418860808015E-14</v>
      </c>
      <c r="GV184" s="17">
        <f>GU184*VLOOKUP('Données projet'!$B$18,Paramètres!$A$1:$I$89,3,0)*VLOOKUP('Données projet'!$B$18,Paramètres!$A$1:$I$89,5,0)</f>
        <v>4.5224624045658861E-14</v>
      </c>
      <c r="GW184" s="13">
        <f t="shared" si="188"/>
        <v>7.4514601661523691E-13</v>
      </c>
      <c r="GX184" s="20">
        <f t="shared" si="189"/>
        <v>1.3765621991510601E-12</v>
      </c>
      <c r="GY184" s="59">
        <f t="shared" si="137"/>
        <v>293.33333333333468</v>
      </c>
      <c r="GZ184" s="59">
        <f ca="1">AVERAGE(OFFSET($GY$3,0,0,'Données projet'!$E$18+1,1))-AVERAGE(OFFSET($H$3,0,0,'Données projet'!$E$18+1,1))</f>
        <v>199.58763537752952</v>
      </c>
      <c r="HA184" s="59">
        <f t="shared" si="160"/>
        <v>242.62852778451929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0</v>
      </c>
      <c r="HH184" s="21">
        <f>EXP(-LN(2)/25)*HH183+(1-EXP(-LN(2)/25))/(LN(2)/25)*Calculateur!HC184*Calculateur!HE184*VLOOKUP('Données projet'!$B$18,Paramètres!$A$1:$I$89,3,0)*0.475*44/12</f>
        <v>0.15627793651714889</v>
      </c>
      <c r="HI184" s="21">
        <f>EXP(-LN(2)/2)*HI183+(1-EXP(-LN(2)/2))/(LN(2)/2)*HC184*HF184*VLOOKUP('Données projet'!$B$18,Paramètres!$A$1:$I$89,3,0)*0.475*44/12</f>
        <v>2.014236650095004E-22</v>
      </c>
      <c r="HJ184" s="22">
        <f t="shared" si="190"/>
        <v>0.15627793651714889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-1.0286385077051818E-13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237.22177246688199</v>
      </c>
      <c r="T185" s="59">
        <f t="shared" si="142"/>
        <v>149.27472147904302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4.5912446224078259E-2</v>
      </c>
      <c r="AB185" s="21">
        <f>EXP(-LN(2)/2)*AB184+(1-EXP(-LN(2)/2))/(LN(2)/2)*V185*Y185*VLOOKUP('Données projet'!$B$9,Paramètres!$A$1:$I$89,3,0)*0.475*44/12</f>
        <v>8.1915336792477985E-23</v>
      </c>
      <c r="AC185" s="22">
        <f t="shared" si="163"/>
        <v>4.5912446224078259E-2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-1.1527845344971866E-13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279.20364724206644</v>
      </c>
      <c r="AO185" s="59">
        <f t="shared" si="144"/>
        <v>173.99850582760712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5.1453603526984214E-2</v>
      </c>
      <c r="AW185" s="21">
        <f>EXP(-LN(2)/2)*AW184+(1-EXP(-LN(2)/2))/(LN(2)/2)*AQ185*AT185*VLOOKUP('Données projet'!$B$10,Paramètres!$A$1:$I$89,3,0)*0.475*44/12</f>
        <v>9.1801670543294279E-23</v>
      </c>
      <c r="AX185" s="21">
        <f t="shared" si="166"/>
        <v>5.1453603526984214E-2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-5.3205440053716299E-14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215.23235148064941</v>
      </c>
      <c r="BJ185" s="59">
        <f t="shared" si="146"/>
        <v>184.07239726900434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0.15447183773185555</v>
      </c>
      <c r="BQ185" s="21">
        <f>EXP(-LN(2)/25)*BQ184+(1-EXP(-LN(2)/25))/(LN(2)/25)*Calculateur!BL185*Calculateur!BN185*VLOOKUP('Données projet'!$B$11,Paramètres!$A$1:$I$89,3,0)*0.475*44/12</f>
        <v>0.11612065813555683</v>
      </c>
      <c r="BR185" s="21">
        <f>EXP(-LN(2)/2)*BR184+(1-EXP(-LN(2)/2))/(LN(2)/2)*BL185*BO185*VLOOKUP('Données projet'!$B$11,Paramètres!$A$1:$I$89,3,0)*0.475*44/12</f>
        <v>1.3012777221921136E-22</v>
      </c>
      <c r="BS185" s="22">
        <f t="shared" si="169"/>
        <v>0.27059249586741241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-1.223725121235475E-13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303.1504619632214</v>
      </c>
      <c r="CE185" s="59">
        <f t="shared" si="148"/>
        <v>188.09929616366503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5.4619979128644802E-2</v>
      </c>
      <c r="CM185" s="21">
        <f>EXP(-LN(2)/2)*CM184+(1-EXP(-LN(2)/2))/(LN(2)/2)*CG185*CJ185*VLOOKUP('Données projet'!$B$12,Paramètres!$A$1:$I$89,3,0)*0.475*44/12</f>
        <v>9.7451004115189495E-23</v>
      </c>
      <c r="CN185" s="22">
        <f t="shared" si="172"/>
        <v>5.4619979128644802E-2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5.6843418860808015E-14</v>
      </c>
      <c r="CU185" s="17">
        <f>CT185*VLOOKUP('Données projet'!$B$13,Paramètres!$A$1:$I$89,3,0)*VLOOKUP('Données projet'!$B$13,Paramètres!$A$1:$I$89,5,0)</f>
        <v>3.813056537183002E-14</v>
      </c>
      <c r="CV185" s="13">
        <f t="shared" si="173"/>
        <v>6.4086286045526829E-13</v>
      </c>
      <c r="CW185" s="20">
        <f t="shared" si="174"/>
        <v>1.1825802166488628E-12</v>
      </c>
      <c r="CX185" s="59">
        <f t="shared" si="122"/>
        <v>293.33333333333451</v>
      </c>
      <c r="CY185" s="59">
        <f ca="1">AVERAGE(OFFSET($CX$3,0,0,'Données projet'!$E$13+1,1))-AVERAGE(OFFSET($H$3,0,0,'Données projet'!$E$13+1,1))</f>
        <v>156.63226020379989</v>
      </c>
      <c r="CZ185" s="59">
        <f t="shared" si="150"/>
        <v>196.0481096619543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0.12816066371305673</v>
      </c>
      <c r="DH185" s="21">
        <f>EXP(-LN(2)/2)*DH184+(1-EXP(-LN(2)/2))/(LN(2)/2)*DB185*DE185*VLOOKUP('Données projet'!$B$13,Paramètres!$A$1:$I$89,3,0)*0.475*44/12</f>
        <v>1.200863861773647E-22</v>
      </c>
      <c r="DI185" s="22">
        <f t="shared" si="175"/>
        <v>0.12816066371305673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-8.5265128291212022E-14</v>
      </c>
      <c r="DP185" s="17">
        <f>DO185*VLOOKUP('Données projet'!$B$14,Paramètres!$A$1:$I$89,3,0)*VLOOKUP('Données projet'!$B$14,Paramètres!$A$1:$I$89,5,0)</f>
        <v>-7.7147888077888636E-14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225.28075317732998</v>
      </c>
      <c r="DU185" s="59">
        <f t="shared" si="152"/>
        <v>358.43407531256207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0.11056062098513575</v>
      </c>
      <c r="EB185" s="21">
        <f>EXP(-LN(2)/25)*EB184+(1-EXP(-LN(2)/25))/(LN(2)/25)*Calculateur!DW185*Calculateur!DY185*VLOOKUP('Données projet'!$B$14,Paramètres!$A$1:$I$89,3,0)*0.475*44/12</f>
        <v>0.1222787886924918</v>
      </c>
      <c r="EC185" s="21">
        <f>EXP(-LN(2)/2)*EC184+(1-EXP(-LN(2)/2))/(LN(2)/2)*DW185*DZ185*VLOOKUP('Données projet'!$B$14,Paramètres!$A$1:$I$89,3,0)*0.475*44/12</f>
        <v>5.841908303523982E-23</v>
      </c>
      <c r="ED185" s="22">
        <f t="shared" si="178"/>
        <v>0.23283940967762756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-5.6843418860808015E-13</v>
      </c>
      <c r="EK185" s="17">
        <f>EJ185*VLOOKUP('Données projet'!$B$15,Paramètres!$A$1:$I$89,3,0)*VLOOKUP('Données projet'!$B$15,Paramètres!$A$1:$I$89,5,0)</f>
        <v>-3.177547114319168E-13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326.31232746914907</v>
      </c>
      <c r="EP185" s="59">
        <f t="shared" si="154"/>
        <v>330.17137761430297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0.22510783421587274</v>
      </c>
      <c r="EW185" s="21">
        <f>EXP(-LN(2)/25)*EW184+(1-EXP(-LN(2)/25))/(LN(2)/25)*Calculateur!ER185*Calculateur!ET185*VLOOKUP('Données projet'!$B$15,Paramètres!$A$1:$I$89,3,0)*0.475*44/12</f>
        <v>0.44602106927662571</v>
      </c>
      <c r="EX185" s="21">
        <f>EXP(-LN(2)/2)*EX184+(1-EXP(-LN(2)/2))/(LN(2)/2)*ER185*EU185*VLOOKUP('Données projet'!$B$15,Paramètres!$A$1:$I$89,3,0)*0.475*44/12</f>
        <v>4.3042625567616513E-22</v>
      </c>
      <c r="EY185" s="22">
        <f t="shared" si="181"/>
        <v>0.67112890349249843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255.41017495879987</v>
      </c>
      <c r="FK185" s="59">
        <f t="shared" si="156"/>
        <v>297.50513563712764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0.41119063163322173</v>
      </c>
      <c r="FR185" s="21">
        <f>EXP(-LN(2)/25)*FR184+(1-EXP(-LN(2)/25))/(LN(2)/25)*Calculateur!FM185*Calculateur!FO185*VLOOKUP('Données projet'!$B$16,Paramètres!$A$1:$I$89,3,0)*0.475*44/12</f>
        <v>0.41197658531473907</v>
      </c>
      <c r="FS185" s="21">
        <f>EXP(-LN(2)/2)*FS184+(1-EXP(-LN(2)/2))/(LN(2)/2)*FM185*FP185*VLOOKUP('Données projet'!$B$16,Paramètres!$A$1:$I$89,3,0)*0.475*44/12</f>
        <v>3.2294707570646846E-22</v>
      </c>
      <c r="FT185" s="22">
        <f t="shared" si="184"/>
        <v>0.8231672169479608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1.1368683772161603E-13</v>
      </c>
      <c r="GA185" s="17">
        <f>FZ185*VLOOKUP('Données projet'!$B$17,Paramètres!$A$1:$I$89,3,0)*VLOOKUP('Données projet'!$B$17,Paramètres!$A$1:$I$89,5,0)</f>
        <v>6.7984728957526396E-14</v>
      </c>
      <c r="GB185" s="13">
        <f t="shared" si="185"/>
        <v>1.0682447123141398E-12</v>
      </c>
      <c r="GC185" s="20">
        <f t="shared" si="186"/>
        <v>1.978932943548152E-12</v>
      </c>
      <c r="GD185" s="59">
        <f t="shared" si="134"/>
        <v>293.3333333333353</v>
      </c>
      <c r="GE185" s="59">
        <f ca="1">AVERAGE(OFFSET($GD$3,0,0,'Données projet'!$E$17+1,1))-AVERAGE(OFFSET($H$3,0,0,'Données projet'!$E$17+1,1))</f>
        <v>259.30247982593914</v>
      </c>
      <c r="GF185" s="59">
        <f t="shared" si="158"/>
        <v>275.24740346220779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</v>
      </c>
      <c r="GM185" s="21">
        <f>EXP(-LN(2)/25)*GM184+(1-EXP(-LN(2)/25))/(LN(2)/25)*Calculateur!GH185*Calculateur!GJ185*VLOOKUP('Données projet'!$B$17,Paramètres!$A$1:$I$89,3,0)*0.475*44/12</f>
        <v>0.26656671675662374</v>
      </c>
      <c r="GN185" s="21">
        <f>EXP(-LN(2)/2)*GN184+(1-EXP(-LN(2)/2))/(LN(2)/2)*GH185*GK185*VLOOKUP('Données projet'!$B$17,Paramètres!$A$1:$I$89,3,0)*0.475*44/12</f>
        <v>3.7958286229350345E-22</v>
      </c>
      <c r="GO185" s="21">
        <f t="shared" si="187"/>
        <v>0.26656671675662374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5.6843418860808015E-14</v>
      </c>
      <c r="GV185" s="17">
        <f>GU185*VLOOKUP('Données projet'!$B$18,Paramètres!$A$1:$I$89,3,0)*VLOOKUP('Données projet'!$B$18,Paramètres!$A$1:$I$89,5,0)</f>
        <v>4.5224624045658861E-14</v>
      </c>
      <c r="GW185" s="13">
        <f t="shared" si="188"/>
        <v>7.4514601661523691E-13</v>
      </c>
      <c r="GX185" s="20">
        <f t="shared" si="189"/>
        <v>1.3765621991510601E-12</v>
      </c>
      <c r="GY185" s="59">
        <f t="shared" si="137"/>
        <v>293.33333333333468</v>
      </c>
      <c r="GZ185" s="59">
        <f ca="1">AVERAGE(OFFSET($GY$3,0,0,'Données projet'!$E$18+1,1))-AVERAGE(OFFSET($H$3,0,0,'Données projet'!$E$18+1,1))</f>
        <v>199.58763537752952</v>
      </c>
      <c r="HA185" s="59">
        <f t="shared" si="160"/>
        <v>242.62852778451929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0</v>
      </c>
      <c r="HH185" s="21">
        <f>EXP(-LN(2)/25)*HH184+(1-EXP(-LN(2)/25))/(LN(2)/25)*Calculateur!HC185*Calculateur!HE185*VLOOKUP('Données projet'!$B$18,Paramètres!$A$1:$I$89,3,0)*0.475*44/12</f>
        <v>0.15200450812478794</v>
      </c>
      <c r="HI185" s="21">
        <f>EXP(-LN(2)/2)*HI184+(1-EXP(-LN(2)/2))/(LN(2)/2)*HC185*HF185*VLOOKUP('Données projet'!$B$18,Paramètres!$A$1:$I$89,3,0)*0.475*44/12</f>
        <v>1.4242803941966524E-22</v>
      </c>
      <c r="HJ185" s="22">
        <f t="shared" si="190"/>
        <v>0.15200450812478794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-1.0286385077051818E-13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237.22177246688199</v>
      </c>
      <c r="T186" s="59">
        <f t="shared" si="142"/>
        <v>149.27472147904302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4.4656967967650223E-2</v>
      </c>
      <c r="AB186" s="21">
        <f>EXP(-LN(2)/2)*AB185+(1-EXP(-LN(2)/2))/(LN(2)/2)*V186*Y186*VLOOKUP('Données projet'!$B$9,Paramètres!$A$1:$I$89,3,0)*0.475*44/12</f>
        <v>5.7922890129141075E-23</v>
      </c>
      <c r="AC186" s="22">
        <f t="shared" si="163"/>
        <v>4.4656967967650223E-2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-1.1527845344971866E-13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279.20364724206644</v>
      </c>
      <c r="AO186" s="59">
        <f t="shared" si="144"/>
        <v>173.99850582760712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5.0046602032711419E-2</v>
      </c>
      <c r="AW186" s="21">
        <f>EXP(-LN(2)/2)*AW185+(1-EXP(-LN(2)/2))/(LN(2)/2)*AQ186*AT186*VLOOKUP('Données projet'!$B$10,Paramètres!$A$1:$I$89,3,0)*0.475*44/12</f>
        <v>6.4913583765416713E-23</v>
      </c>
      <c r="AX186" s="21">
        <f t="shared" si="166"/>
        <v>5.0046602032711419E-2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-5.3205440053716299E-14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215.23235148064941</v>
      </c>
      <c r="BJ186" s="59">
        <f t="shared" si="146"/>
        <v>184.07239726900434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0.15144273921245158</v>
      </c>
      <c r="BQ186" s="21">
        <f>EXP(-LN(2)/25)*BQ185+(1-EXP(-LN(2)/25))/(LN(2)/25)*Calculateur!BL186*Calculateur!BN186*VLOOKUP('Données projet'!$B$11,Paramètres!$A$1:$I$89,3,0)*0.475*44/12</f>
        <v>0.11294533263232001</v>
      </c>
      <c r="BR186" s="21">
        <f>EXP(-LN(2)/2)*BR185+(1-EXP(-LN(2)/2))/(LN(2)/2)*BL186*BO186*VLOOKUP('Données projet'!$B$11,Paramètres!$A$1:$I$89,3,0)*0.475*44/12</f>
        <v>9.2014230156902789E-23</v>
      </c>
      <c r="BS186" s="22">
        <f t="shared" si="169"/>
        <v>0.26438807184477159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-1.223725121235475E-13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303.1504619632214</v>
      </c>
      <c r="CE186" s="59">
        <f t="shared" si="148"/>
        <v>188.09929616366503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5.312639292703214E-2</v>
      </c>
      <c r="CM186" s="21">
        <f>EXP(-LN(2)/2)*CM185+(1-EXP(-LN(2)/2))/(LN(2)/2)*CG186*CJ186*VLOOKUP('Données projet'!$B$12,Paramètres!$A$1:$I$89,3,0)*0.475*44/12</f>
        <v>6.890826584328864E-23</v>
      </c>
      <c r="CN186" s="22">
        <f t="shared" si="172"/>
        <v>5.312639292703214E-2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5.6843418860808015E-14</v>
      </c>
      <c r="CU186" s="17">
        <f>CT186*VLOOKUP('Données projet'!$B$13,Paramètres!$A$1:$I$89,3,0)*VLOOKUP('Données projet'!$B$13,Paramètres!$A$1:$I$89,5,0)</f>
        <v>3.813056537183002E-14</v>
      </c>
      <c r="CV186" s="13">
        <f t="shared" si="173"/>
        <v>6.4086286045526829E-13</v>
      </c>
      <c r="CW186" s="20">
        <f t="shared" si="174"/>
        <v>1.1825802166488628E-12</v>
      </c>
      <c r="CX186" s="59">
        <f t="shared" si="122"/>
        <v>293.33333333333451</v>
      </c>
      <c r="CY186" s="59">
        <f ca="1">AVERAGE(OFFSET($CX$3,0,0,'Données projet'!$E$13+1,1))-AVERAGE(OFFSET($H$3,0,0,'Données projet'!$E$13+1,1))</f>
        <v>156.63226020379989</v>
      </c>
      <c r="CZ186" s="59">
        <f t="shared" si="150"/>
        <v>196.0481096619543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0.12465610362414681</v>
      </c>
      <c r="DH186" s="21">
        <f>EXP(-LN(2)/2)*DH185+(1-EXP(-LN(2)/2))/(LN(2)/2)*DB186*DE186*VLOOKUP('Données projet'!$B$13,Paramètres!$A$1:$I$89,3,0)*0.475*44/12</f>
        <v>8.4913897994201067E-23</v>
      </c>
      <c r="DI186" s="22">
        <f t="shared" si="175"/>
        <v>0.12465610362414681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-8.5265128291212022E-14</v>
      </c>
      <c r="DP186" s="17">
        <f>DO186*VLOOKUP('Données projet'!$B$14,Paramètres!$A$1:$I$89,3,0)*VLOOKUP('Données projet'!$B$14,Paramètres!$A$1:$I$89,5,0)</f>
        <v>-7.7147888077888636E-14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225.28075317732998</v>
      </c>
      <c r="DU186" s="59">
        <f t="shared" si="152"/>
        <v>358.43407531256207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0.10839259464293735</v>
      </c>
      <c r="EB186" s="21">
        <f>EXP(-LN(2)/25)*EB185+(1-EXP(-LN(2)/25))/(LN(2)/25)*Calculateur!DW186*Calculateur!DY186*VLOOKUP('Données projet'!$B$14,Paramètres!$A$1:$I$89,3,0)*0.475*44/12</f>
        <v>0.11893506878533358</v>
      </c>
      <c r="EC186" s="21">
        <f>EXP(-LN(2)/2)*EC185+(1-EXP(-LN(2)/2))/(LN(2)/2)*DW186*DZ186*VLOOKUP('Données projet'!$B$14,Paramètres!$A$1:$I$89,3,0)*0.475*44/12</f>
        <v>4.1308529764918074E-23</v>
      </c>
      <c r="ED186" s="22">
        <f t="shared" si="178"/>
        <v>0.22732766342827093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-5.6843418860808015E-13</v>
      </c>
      <c r="EK186" s="17">
        <f>EJ186*VLOOKUP('Données projet'!$B$15,Paramètres!$A$1:$I$89,3,0)*VLOOKUP('Données projet'!$B$15,Paramètres!$A$1:$I$89,5,0)</f>
        <v>-3.177547114319168E-13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326.31232746914907</v>
      </c>
      <c r="EP186" s="59">
        <f t="shared" si="154"/>
        <v>330.17137761430297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0.22069360688912087</v>
      </c>
      <c r="EW186" s="21">
        <f>EXP(-LN(2)/25)*EW185+(1-EXP(-LN(2)/25))/(LN(2)/25)*Calculateur!ER186*Calculateur!ET186*VLOOKUP('Données projet'!$B$15,Paramètres!$A$1:$I$89,3,0)*0.475*44/12</f>
        <v>0.43382459968202775</v>
      </c>
      <c r="EX186" s="21">
        <f>EXP(-LN(2)/2)*EX185+(1-EXP(-LN(2)/2))/(LN(2)/2)*ER186*EU186*VLOOKUP('Données projet'!$B$15,Paramètres!$A$1:$I$89,3,0)*0.475*44/12</f>
        <v>3.0435732418935106E-22</v>
      </c>
      <c r="EY186" s="22">
        <f t="shared" si="181"/>
        <v>0.65451820657114856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255.41017495879987</v>
      </c>
      <c r="FK186" s="59">
        <f t="shared" si="156"/>
        <v>297.50513563712764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0.40312743414841495</v>
      </c>
      <c r="FR186" s="21">
        <f>EXP(-LN(2)/25)*FR185+(1-EXP(-LN(2)/25))/(LN(2)/25)*Calculateur!FM186*Calculateur!FO186*VLOOKUP('Données projet'!$B$16,Paramètres!$A$1:$I$89,3,0)*0.475*44/12</f>
        <v>0.40071106392440048</v>
      </c>
      <c r="FS186" s="21">
        <f>EXP(-LN(2)/2)*FS185+(1-EXP(-LN(2)/2))/(LN(2)/2)*FM186*FP186*VLOOKUP('Données projet'!$B$16,Paramètres!$A$1:$I$89,3,0)*0.475*44/12</f>
        <v>2.2835806719640919E-22</v>
      </c>
      <c r="FT186" s="22">
        <f t="shared" si="184"/>
        <v>0.80383849807281549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1.1368683772161603E-13</v>
      </c>
      <c r="GA186" s="17">
        <f>FZ186*VLOOKUP('Données projet'!$B$17,Paramètres!$A$1:$I$89,3,0)*VLOOKUP('Données projet'!$B$17,Paramètres!$A$1:$I$89,5,0)</f>
        <v>6.7984728957526396E-14</v>
      </c>
      <c r="GB186" s="13">
        <f t="shared" si="185"/>
        <v>1.0682447123141398E-12</v>
      </c>
      <c r="GC186" s="20">
        <f t="shared" si="186"/>
        <v>1.978932943548152E-12</v>
      </c>
      <c r="GD186" s="59">
        <f t="shared" si="134"/>
        <v>293.3333333333353</v>
      </c>
      <c r="GE186" s="59">
        <f ca="1">AVERAGE(OFFSET($GD$3,0,0,'Données projet'!$E$17+1,1))-AVERAGE(OFFSET($H$3,0,0,'Données projet'!$E$17+1,1))</f>
        <v>259.30247982593914</v>
      </c>
      <c r="GF186" s="59">
        <f t="shared" si="158"/>
        <v>275.24740346220779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</v>
      </c>
      <c r="GM186" s="21">
        <f>EXP(-LN(2)/25)*GM185+(1-EXP(-LN(2)/25))/(LN(2)/25)*Calculateur!GH186*Calculateur!GJ186*VLOOKUP('Données projet'!$B$17,Paramètres!$A$1:$I$89,3,0)*0.475*44/12</f>
        <v>0.25927743586877949</v>
      </c>
      <c r="GN186" s="21">
        <f>EXP(-LN(2)/2)*GN185+(1-EXP(-LN(2)/2))/(LN(2)/2)*GH186*GK186*VLOOKUP('Données projet'!$B$17,Paramètres!$A$1:$I$89,3,0)*0.475*44/12</f>
        <v>2.6840561594993574E-22</v>
      </c>
      <c r="GO186" s="21">
        <f t="shared" si="187"/>
        <v>0.25927743586877949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5.6843418860808015E-14</v>
      </c>
      <c r="GV186" s="17">
        <f>GU186*VLOOKUP('Données projet'!$B$18,Paramètres!$A$1:$I$89,3,0)*VLOOKUP('Données projet'!$B$18,Paramètres!$A$1:$I$89,5,0)</f>
        <v>4.5224624045658861E-14</v>
      </c>
      <c r="GW186" s="13">
        <f t="shared" si="188"/>
        <v>7.4514601661523691E-13</v>
      </c>
      <c r="GX186" s="20">
        <f t="shared" si="189"/>
        <v>1.3765621991510601E-12</v>
      </c>
      <c r="GY186" s="59">
        <f t="shared" si="137"/>
        <v>293.33333333333468</v>
      </c>
      <c r="GZ186" s="59">
        <f ca="1">AVERAGE(OFFSET($GY$3,0,0,'Données projet'!$E$18+1,1))-AVERAGE(OFFSET($H$3,0,0,'Données projet'!$E$18+1,1))</f>
        <v>199.58763537752952</v>
      </c>
      <c r="HA186" s="59">
        <f t="shared" si="160"/>
        <v>242.62852778451929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0</v>
      </c>
      <c r="HH186" s="21">
        <f>EXP(-LN(2)/25)*HH185+(1-EXP(-LN(2)/25))/(LN(2)/25)*Calculateur!HC186*Calculateur!HE186*VLOOKUP('Données projet'!$B$18,Paramètres!$A$1:$I$89,3,0)*0.475*44/12</f>
        <v>0.14784793685654593</v>
      </c>
      <c r="HI186" s="21">
        <f>EXP(-LN(2)/2)*HI185+(1-EXP(-LN(2)/2))/(LN(2)/2)*HC186*HF186*VLOOKUP('Données projet'!$B$18,Paramètres!$A$1:$I$89,3,0)*0.475*44/12</f>
        <v>1.007118325047502E-22</v>
      </c>
      <c r="HJ186" s="22">
        <f t="shared" si="190"/>
        <v>0.14784793685654593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-1.0286385077051818E-13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237.22177246688199</v>
      </c>
      <c r="T187" s="59">
        <f t="shared" si="142"/>
        <v>149.27472147904302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4.3435820830166949E-2</v>
      </c>
      <c r="AB187" s="21">
        <f>EXP(-LN(2)/2)*AB186+(1-EXP(-LN(2)/2))/(LN(2)/2)*V187*Y187*VLOOKUP('Données projet'!$B$9,Paramètres!$A$1:$I$89,3,0)*0.475*44/12</f>
        <v>4.0957668396238992E-23</v>
      </c>
      <c r="AC187" s="22">
        <f t="shared" si="163"/>
        <v>4.3435820830166949E-2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-1.1527845344971866E-13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279.20364724206644</v>
      </c>
      <c r="AO187" s="59">
        <f t="shared" si="144"/>
        <v>173.99850582760712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4.8678075068290506E-2</v>
      </c>
      <c r="AW187" s="21">
        <f>EXP(-LN(2)/2)*AW186+(1-EXP(-LN(2)/2))/(LN(2)/2)*AQ187*AT187*VLOOKUP('Données projet'!$B$10,Paramètres!$A$1:$I$89,3,0)*0.475*44/12</f>
        <v>4.5900835271647139E-23</v>
      </c>
      <c r="AX187" s="21">
        <f t="shared" si="166"/>
        <v>4.8678075068290506E-2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-5.3205440053716299E-14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215.23235148064941</v>
      </c>
      <c r="BJ187" s="59">
        <f t="shared" si="146"/>
        <v>184.07239726900434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0.14847303946744544</v>
      </c>
      <c r="BQ187" s="21">
        <f>EXP(-LN(2)/25)*BQ186+(1-EXP(-LN(2)/25))/(LN(2)/25)*Calculateur!BL187*Calculateur!BN187*VLOOKUP('Données projet'!$B$11,Paramètres!$A$1:$I$89,3,0)*0.475*44/12</f>
        <v>0.10985683657195232</v>
      </c>
      <c r="BR187" s="21">
        <f>EXP(-LN(2)/2)*BR186+(1-EXP(-LN(2)/2))/(LN(2)/2)*BL187*BO187*VLOOKUP('Données projet'!$B$11,Paramètres!$A$1:$I$89,3,0)*0.475*44/12</f>
        <v>6.5063886109605682E-23</v>
      </c>
      <c r="BS187" s="22">
        <f t="shared" si="169"/>
        <v>0.25832987603939778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-1.223725121235475E-13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303.1504619632214</v>
      </c>
      <c r="CE187" s="59">
        <f t="shared" si="148"/>
        <v>188.09929616366503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5.1673648918646863E-2</v>
      </c>
      <c r="CM187" s="21">
        <f>EXP(-LN(2)/2)*CM186+(1-EXP(-LN(2)/2))/(LN(2)/2)*CG187*CJ187*VLOOKUP('Données projet'!$B$12,Paramètres!$A$1:$I$89,3,0)*0.475*44/12</f>
        <v>4.8725502057594748E-23</v>
      </c>
      <c r="CN187" s="22">
        <f t="shared" si="172"/>
        <v>5.1673648918646863E-2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5.6843418860808015E-14</v>
      </c>
      <c r="CU187" s="17">
        <f>CT187*VLOOKUP('Données projet'!$B$13,Paramètres!$A$1:$I$89,3,0)*VLOOKUP('Données projet'!$B$13,Paramètres!$A$1:$I$89,5,0)</f>
        <v>3.813056537183002E-14</v>
      </c>
      <c r="CV187" s="13">
        <f t="shared" si="173"/>
        <v>6.4086286045526829E-13</v>
      </c>
      <c r="CW187" s="20">
        <f t="shared" si="174"/>
        <v>1.1825802166488628E-12</v>
      </c>
      <c r="CX187" s="59">
        <f t="shared" si="122"/>
        <v>293.33333333333451</v>
      </c>
      <c r="CY187" s="59">
        <f ca="1">AVERAGE(OFFSET($CX$3,0,0,'Données projet'!$E$13+1,1))-AVERAGE(OFFSET($H$3,0,0,'Données projet'!$E$13+1,1))</f>
        <v>156.63226020379989</v>
      </c>
      <c r="CZ187" s="59">
        <f t="shared" si="150"/>
        <v>196.0481096619543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0.12124737591516493</v>
      </c>
      <c r="DH187" s="21">
        <f>EXP(-LN(2)/2)*DH186+(1-EXP(-LN(2)/2))/(LN(2)/2)*DB187*DE187*VLOOKUP('Données projet'!$B$13,Paramètres!$A$1:$I$89,3,0)*0.475*44/12</f>
        <v>6.004319308868235E-23</v>
      </c>
      <c r="DI187" s="22">
        <f t="shared" si="175"/>
        <v>0.12124737591516493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-8.5265128291212022E-14</v>
      </c>
      <c r="DP187" s="17">
        <f>DO187*VLOOKUP('Données projet'!$B$14,Paramètres!$A$1:$I$89,3,0)*VLOOKUP('Données projet'!$B$14,Paramètres!$A$1:$I$89,5,0)</f>
        <v>-7.7147888077888636E-14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225.28075317732998</v>
      </c>
      <c r="DU187" s="59">
        <f t="shared" si="152"/>
        <v>358.43407531256207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0.10626708197494397</v>
      </c>
      <c r="EB187" s="21">
        <f>EXP(-LN(2)/25)*EB186+(1-EXP(-LN(2)/25))/(LN(2)/25)*Calculateur!DW187*Calculateur!DY187*VLOOKUP('Données projet'!$B$14,Paramètres!$A$1:$I$89,3,0)*0.475*44/12</f>
        <v>0.1156827830748752</v>
      </c>
      <c r="EC187" s="21">
        <f>EXP(-LN(2)/2)*EC186+(1-EXP(-LN(2)/2))/(LN(2)/2)*DW187*DZ187*VLOOKUP('Données projet'!$B$14,Paramètres!$A$1:$I$89,3,0)*0.475*44/12</f>
        <v>2.920954151761991E-23</v>
      </c>
      <c r="ED187" s="22">
        <f t="shared" si="178"/>
        <v>0.22194986504981917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-5.6843418860808015E-13</v>
      </c>
      <c r="EK187" s="17">
        <f>EJ187*VLOOKUP('Données projet'!$B$15,Paramètres!$A$1:$I$89,3,0)*VLOOKUP('Données projet'!$B$15,Paramètres!$A$1:$I$89,5,0)</f>
        <v>-3.177547114319168E-13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326.31232746914907</v>
      </c>
      <c r="EP187" s="59">
        <f t="shared" si="154"/>
        <v>330.17137761430297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0.21636593986783381</v>
      </c>
      <c r="EW187" s="21">
        <f>EXP(-LN(2)/25)*EW186+(1-EXP(-LN(2)/25))/(LN(2)/25)*Calculateur!ER187*Calculateur!ET187*VLOOKUP('Données projet'!$B$15,Paramètres!$A$1:$I$89,3,0)*0.475*44/12</f>
        <v>0.4219616431898785</v>
      </c>
      <c r="EX187" s="21">
        <f>EXP(-LN(2)/2)*EX186+(1-EXP(-LN(2)/2))/(LN(2)/2)*ER187*EU187*VLOOKUP('Données projet'!$B$15,Paramètres!$A$1:$I$89,3,0)*0.475*44/12</f>
        <v>2.1521312783808257E-22</v>
      </c>
      <c r="EY187" s="22">
        <f t="shared" si="181"/>
        <v>0.63832758305771231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255.41017495879987</v>
      </c>
      <c r="FK187" s="59">
        <f t="shared" si="156"/>
        <v>297.50513563712764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0.3952223510482204</v>
      </c>
      <c r="FR187" s="21">
        <f>EXP(-LN(2)/25)*FR186+(1-EXP(-LN(2)/25))/(LN(2)/25)*Calculateur!FM187*Calculateur!FO187*VLOOKUP('Données projet'!$B$16,Paramètres!$A$1:$I$89,3,0)*0.475*44/12</f>
        <v>0.38975359880890875</v>
      </c>
      <c r="FS187" s="21">
        <f>EXP(-LN(2)/2)*FS186+(1-EXP(-LN(2)/2))/(LN(2)/2)*FM187*FP187*VLOOKUP('Données projet'!$B$16,Paramètres!$A$1:$I$89,3,0)*0.475*44/12</f>
        <v>1.6147353785323423E-22</v>
      </c>
      <c r="FT187" s="22">
        <f t="shared" si="184"/>
        <v>0.78497594985712915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1.1368683772161603E-13</v>
      </c>
      <c r="GA187" s="17">
        <f>FZ187*VLOOKUP('Données projet'!$B$17,Paramètres!$A$1:$I$89,3,0)*VLOOKUP('Données projet'!$B$17,Paramètres!$A$1:$I$89,5,0)</f>
        <v>6.7984728957526396E-14</v>
      </c>
      <c r="GB187" s="13">
        <f t="shared" si="185"/>
        <v>1.0682447123141398E-12</v>
      </c>
      <c r="GC187" s="20">
        <f t="shared" si="186"/>
        <v>1.978932943548152E-12</v>
      </c>
      <c r="GD187" s="59">
        <f t="shared" si="134"/>
        <v>293.3333333333353</v>
      </c>
      <c r="GE187" s="59">
        <f ca="1">AVERAGE(OFFSET($GD$3,0,0,'Données projet'!$E$17+1,1))-AVERAGE(OFFSET($H$3,0,0,'Données projet'!$E$17+1,1))</f>
        <v>259.30247982593914</v>
      </c>
      <c r="GF187" s="59">
        <f t="shared" si="158"/>
        <v>275.24740346220779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</v>
      </c>
      <c r="GM187" s="21">
        <f>EXP(-LN(2)/25)*GM186+(1-EXP(-LN(2)/25))/(LN(2)/25)*Calculateur!GH187*Calculateur!GJ187*VLOOKUP('Données projet'!$B$17,Paramètres!$A$1:$I$89,3,0)*0.475*44/12</f>
        <v>0.25218748075013997</v>
      </c>
      <c r="GN187" s="21">
        <f>EXP(-LN(2)/2)*GN186+(1-EXP(-LN(2)/2))/(LN(2)/2)*GH187*GK187*VLOOKUP('Données projet'!$B$17,Paramètres!$A$1:$I$89,3,0)*0.475*44/12</f>
        <v>1.8979143114675173E-22</v>
      </c>
      <c r="GO187" s="21">
        <f t="shared" si="187"/>
        <v>0.25218748075013997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5.6843418860808015E-14</v>
      </c>
      <c r="GV187" s="17">
        <f>GU187*VLOOKUP('Données projet'!$B$18,Paramètres!$A$1:$I$89,3,0)*VLOOKUP('Données projet'!$B$18,Paramètres!$A$1:$I$89,5,0)</f>
        <v>4.5224624045658861E-14</v>
      </c>
      <c r="GW187" s="13">
        <f t="shared" si="188"/>
        <v>7.4514601661523691E-13</v>
      </c>
      <c r="GX187" s="20">
        <f t="shared" si="189"/>
        <v>1.3765621991510601E-12</v>
      </c>
      <c r="GY187" s="59">
        <f t="shared" si="137"/>
        <v>293.33333333333468</v>
      </c>
      <c r="GZ187" s="59">
        <f ca="1">AVERAGE(OFFSET($GY$3,0,0,'Données projet'!$E$18+1,1))-AVERAGE(OFFSET($H$3,0,0,'Données projet'!$E$18+1,1))</f>
        <v>199.58763537752952</v>
      </c>
      <c r="HA187" s="59">
        <f t="shared" si="160"/>
        <v>242.62852778451929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0</v>
      </c>
      <c r="HH187" s="21">
        <f>EXP(-LN(2)/25)*HH186+(1-EXP(-LN(2)/25))/(LN(2)/25)*Calculateur!HC187*Calculateur!HE187*VLOOKUP('Données projet'!$B$18,Paramètres!$A$1:$I$89,3,0)*0.475*44/12</f>
        <v>0.14380502724821859</v>
      </c>
      <c r="HI187" s="21">
        <f>EXP(-LN(2)/2)*HI186+(1-EXP(-LN(2)/2))/(LN(2)/2)*HC187*HF187*VLOOKUP('Données projet'!$B$18,Paramètres!$A$1:$I$89,3,0)*0.475*44/12</f>
        <v>7.1214019709832622E-23</v>
      </c>
      <c r="HJ187" s="22">
        <f t="shared" si="190"/>
        <v>0.14380502724821859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-1.0286385077051818E-13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237.22177246688199</v>
      </c>
      <c r="T188" s="59">
        <f t="shared" si="142"/>
        <v>149.27472147904302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4.2248066025375487E-2</v>
      </c>
      <c r="AB188" s="21">
        <f>EXP(-LN(2)/2)*AB187+(1-EXP(-LN(2)/2))/(LN(2)/2)*V188*Y188*VLOOKUP('Données projet'!$B$9,Paramètres!$A$1:$I$89,3,0)*0.475*44/12</f>
        <v>2.8961445064570538E-23</v>
      </c>
      <c r="AC188" s="22">
        <f t="shared" si="163"/>
        <v>4.2248066025375487E-2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-1.1527845344971866E-13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279.20364724206644</v>
      </c>
      <c r="AO188" s="59">
        <f t="shared" si="144"/>
        <v>173.99850582760712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4.7346970545679393E-2</v>
      </c>
      <c r="AW188" s="21">
        <f>EXP(-LN(2)/2)*AW187+(1-EXP(-LN(2)/2))/(LN(2)/2)*AQ188*AT188*VLOOKUP('Données projet'!$B$10,Paramètres!$A$1:$I$89,3,0)*0.475*44/12</f>
        <v>3.2456791882708356E-23</v>
      </c>
      <c r="AX188" s="21">
        <f t="shared" si="166"/>
        <v>4.7346970545679393E-2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-5.3205440053716299E-14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215.23235148064941</v>
      </c>
      <c r="BJ188" s="59">
        <f t="shared" si="146"/>
        <v>184.07239726900434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0.14556157372310088</v>
      </c>
      <c r="BQ188" s="21">
        <f>EXP(-LN(2)/25)*BQ187+(1-EXP(-LN(2)/25))/(LN(2)/25)*Calculateur!BL188*Calculateur!BN188*VLOOKUP('Données projet'!$B$11,Paramètres!$A$1:$I$89,3,0)*0.475*44/12</f>
        <v>0.10685279559877232</v>
      </c>
      <c r="BR188" s="21">
        <f>EXP(-LN(2)/2)*BR187+(1-EXP(-LN(2)/2))/(LN(2)/2)*BL188*BO188*VLOOKUP('Données projet'!$B$11,Paramètres!$A$1:$I$89,3,0)*0.475*44/12</f>
        <v>4.6007115078451394E-23</v>
      </c>
      <c r="BS188" s="22">
        <f t="shared" si="169"/>
        <v>0.25241436932187322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-1.223725121235475E-13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303.1504619632214</v>
      </c>
      <c r="CE188" s="59">
        <f t="shared" si="148"/>
        <v>188.09929616366503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5.0260630271567366E-2</v>
      </c>
      <c r="CM188" s="21">
        <f>EXP(-LN(2)/2)*CM187+(1-EXP(-LN(2)/2))/(LN(2)/2)*CG188*CJ188*VLOOKUP('Données projet'!$B$12,Paramètres!$A$1:$I$89,3,0)*0.475*44/12</f>
        <v>3.445413292164432E-23</v>
      </c>
      <c r="CN188" s="22">
        <f t="shared" si="172"/>
        <v>5.0260630271567366E-2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5.6843418860808015E-14</v>
      </c>
      <c r="CU188" s="17">
        <f>CT188*VLOOKUP('Données projet'!$B$13,Paramètres!$A$1:$I$89,3,0)*VLOOKUP('Données projet'!$B$13,Paramètres!$A$1:$I$89,5,0)</f>
        <v>3.813056537183002E-14</v>
      </c>
      <c r="CV188" s="13">
        <f t="shared" si="173"/>
        <v>6.4086286045526829E-13</v>
      </c>
      <c r="CW188" s="20">
        <f t="shared" si="174"/>
        <v>1.1825802166488628E-12</v>
      </c>
      <c r="CX188" s="59">
        <f t="shared" si="122"/>
        <v>293.33333333333451</v>
      </c>
      <c r="CY188" s="59">
        <f ca="1">AVERAGE(OFFSET($CX$3,0,0,'Données projet'!$E$13+1,1))-AVERAGE(OFFSET($H$3,0,0,'Données projet'!$E$13+1,1))</f>
        <v>156.63226020379989</v>
      </c>
      <c r="CZ188" s="59">
        <f t="shared" si="150"/>
        <v>196.0481096619543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0.11793186004464236</v>
      </c>
      <c r="DH188" s="21">
        <f>EXP(-LN(2)/2)*DH187+(1-EXP(-LN(2)/2))/(LN(2)/2)*DB188*DE188*VLOOKUP('Données projet'!$B$13,Paramètres!$A$1:$I$89,3,0)*0.475*44/12</f>
        <v>4.2456948997100533E-23</v>
      </c>
      <c r="DI188" s="22">
        <f t="shared" si="175"/>
        <v>0.11793186004464236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-8.5265128291212022E-14</v>
      </c>
      <c r="DP188" s="17">
        <f>DO188*VLOOKUP('Données projet'!$B$14,Paramètres!$A$1:$I$89,3,0)*VLOOKUP('Données projet'!$B$14,Paramètres!$A$1:$I$89,5,0)</f>
        <v>-7.7147888077888636E-14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225.28075317732998</v>
      </c>
      <c r="DU188" s="59">
        <f t="shared" si="152"/>
        <v>358.43407531256207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0.10418324931393523</v>
      </c>
      <c r="EB188" s="21">
        <f>EXP(-LN(2)/25)*EB187+(1-EXP(-LN(2)/25))/(LN(2)/25)*Calculateur!DW188*Calculateur!DY188*VLOOKUP('Données projet'!$B$14,Paramètres!$A$1:$I$89,3,0)*0.475*44/12</f>
        <v>0.11251943128819958</v>
      </c>
      <c r="EC188" s="21">
        <f>EXP(-LN(2)/2)*EC187+(1-EXP(-LN(2)/2))/(LN(2)/2)*DW188*DZ188*VLOOKUP('Données projet'!$B$14,Paramètres!$A$1:$I$89,3,0)*0.475*44/12</f>
        <v>2.0654264882459037E-23</v>
      </c>
      <c r="ED188" s="22">
        <f t="shared" si="178"/>
        <v>0.21670268060213482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-5.6843418860808015E-13</v>
      </c>
      <c r="EK188" s="17">
        <f>EJ188*VLOOKUP('Données projet'!$B$15,Paramètres!$A$1:$I$89,3,0)*VLOOKUP('Données projet'!$B$15,Paramètres!$A$1:$I$89,5,0)</f>
        <v>-3.177547114319168E-13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326.31232746914907</v>
      </c>
      <c r="EP188" s="59">
        <f t="shared" si="154"/>
        <v>330.17137761430297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0.21212313575721795</v>
      </c>
      <c r="EW188" s="21">
        <f>EXP(-LN(2)/25)*EW187+(1-EXP(-LN(2)/25))/(LN(2)/25)*Calculateur!ER188*Calculateur!ET188*VLOOKUP('Données projet'!$B$15,Paramètres!$A$1:$I$89,3,0)*0.475*44/12</f>
        <v>0.41042307986685284</v>
      </c>
      <c r="EX188" s="21">
        <f>EXP(-LN(2)/2)*EX187+(1-EXP(-LN(2)/2))/(LN(2)/2)*ER188*EU188*VLOOKUP('Données projet'!$B$15,Paramètres!$A$1:$I$89,3,0)*0.475*44/12</f>
        <v>1.5217866209467553E-22</v>
      </c>
      <c r="EY188" s="22">
        <f t="shared" si="181"/>
        <v>0.62254621562407075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255.41017495879987</v>
      </c>
      <c r="FK188" s="59">
        <f t="shared" si="156"/>
        <v>297.50513563712764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0.38747228180599608</v>
      </c>
      <c r="FR188" s="21">
        <f>EXP(-LN(2)/25)*FR187+(1-EXP(-LN(2)/25))/(LN(2)/25)*Calculateur!FM188*Calculateur!FO188*VLOOKUP('Données projet'!$B$16,Paramètres!$A$1:$I$89,3,0)*0.475*44/12</f>
        <v>0.37909576615322815</v>
      </c>
      <c r="FS188" s="21">
        <f>EXP(-LN(2)/2)*FS187+(1-EXP(-LN(2)/2))/(LN(2)/2)*FM188*FP188*VLOOKUP('Données projet'!$B$16,Paramètres!$A$1:$I$89,3,0)*0.475*44/12</f>
        <v>1.1417903359820459E-22</v>
      </c>
      <c r="FT188" s="22">
        <f t="shared" si="184"/>
        <v>0.76656804795922429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1.1368683772161603E-13</v>
      </c>
      <c r="GA188" s="17">
        <f>FZ188*VLOOKUP('Données projet'!$B$17,Paramètres!$A$1:$I$89,3,0)*VLOOKUP('Données projet'!$B$17,Paramètres!$A$1:$I$89,5,0)</f>
        <v>6.7984728957526396E-14</v>
      </c>
      <c r="GB188" s="13">
        <f t="shared" si="185"/>
        <v>1.0682447123141398E-12</v>
      </c>
      <c r="GC188" s="20">
        <f t="shared" si="186"/>
        <v>1.978932943548152E-12</v>
      </c>
      <c r="GD188" s="59">
        <f t="shared" si="134"/>
        <v>293.3333333333353</v>
      </c>
      <c r="GE188" s="59">
        <f ca="1">AVERAGE(OFFSET($GD$3,0,0,'Données projet'!$E$17+1,1))-AVERAGE(OFFSET($H$3,0,0,'Données projet'!$E$17+1,1))</f>
        <v>259.30247982593914</v>
      </c>
      <c r="GF188" s="59">
        <f t="shared" si="158"/>
        <v>275.24740346220779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</v>
      </c>
      <c r="GM188" s="21">
        <f>EXP(-LN(2)/25)*GM187+(1-EXP(-LN(2)/25))/(LN(2)/25)*Calculateur!GH188*Calculateur!GJ188*VLOOKUP('Données projet'!$B$17,Paramètres!$A$1:$I$89,3,0)*0.475*44/12</f>
        <v>0.24529140082706416</v>
      </c>
      <c r="GN188" s="21">
        <f>EXP(-LN(2)/2)*GN187+(1-EXP(-LN(2)/2))/(LN(2)/2)*GH188*GK188*VLOOKUP('Données projet'!$B$17,Paramètres!$A$1:$I$89,3,0)*0.475*44/12</f>
        <v>1.3420280797496787E-22</v>
      </c>
      <c r="GO188" s="21">
        <f t="shared" si="187"/>
        <v>0.24529140082706416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5.6843418860808015E-14</v>
      </c>
      <c r="GV188" s="17">
        <f>GU188*VLOOKUP('Données projet'!$B$18,Paramètres!$A$1:$I$89,3,0)*VLOOKUP('Données projet'!$B$18,Paramètres!$A$1:$I$89,5,0)</f>
        <v>4.5224624045658861E-14</v>
      </c>
      <c r="GW188" s="13">
        <f t="shared" si="188"/>
        <v>7.4514601661523691E-13</v>
      </c>
      <c r="GX188" s="20">
        <f t="shared" si="189"/>
        <v>1.3765621991510601E-12</v>
      </c>
      <c r="GY188" s="59">
        <f t="shared" si="137"/>
        <v>293.33333333333468</v>
      </c>
      <c r="GZ188" s="59">
        <f ca="1">AVERAGE(OFFSET($GY$3,0,0,'Données projet'!$E$18+1,1))-AVERAGE(OFFSET($H$3,0,0,'Données projet'!$E$18+1,1))</f>
        <v>199.58763537752952</v>
      </c>
      <c r="HA188" s="59">
        <f t="shared" si="160"/>
        <v>242.62852778451929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0</v>
      </c>
      <c r="HH188" s="21">
        <f>EXP(-LN(2)/25)*HH187+(1-EXP(-LN(2)/25))/(LN(2)/25)*Calculateur!HC188*Calculateur!HE188*VLOOKUP('Données projet'!$B$18,Paramètres!$A$1:$I$89,3,0)*0.475*44/12</f>
        <v>0.13987267121573835</v>
      </c>
      <c r="HI188" s="21">
        <f>EXP(-LN(2)/2)*HI187+(1-EXP(-LN(2)/2))/(LN(2)/2)*HC188*HF188*VLOOKUP('Données projet'!$B$18,Paramètres!$A$1:$I$89,3,0)*0.475*44/12</f>
        <v>5.0355916252375099E-23</v>
      </c>
      <c r="HJ188" s="22">
        <f t="shared" si="190"/>
        <v>0.13987267121573835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-1.0286385077051818E-13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237.22177246688199</v>
      </c>
      <c r="T189" s="59">
        <f t="shared" si="142"/>
        <v>149.27472147904302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4.1092790438182362E-2</v>
      </c>
      <c r="AB189" s="21">
        <f>EXP(-LN(2)/2)*AB188+(1-EXP(-LN(2)/2))/(LN(2)/2)*V189*Y189*VLOOKUP('Données projet'!$B$9,Paramètres!$A$1:$I$89,3,0)*0.475*44/12</f>
        <v>2.0478834198119496E-23</v>
      </c>
      <c r="AC189" s="22">
        <f t="shared" si="163"/>
        <v>4.1092790438182362E-2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-1.1527845344971866E-13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279.20364724206644</v>
      </c>
      <c r="AO189" s="59">
        <f t="shared" si="144"/>
        <v>173.99850582760712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4.6052265146238822E-2</v>
      </c>
      <c r="AW189" s="21">
        <f>EXP(-LN(2)/2)*AW188+(1-EXP(-LN(2)/2))/(LN(2)/2)*AQ189*AT189*VLOOKUP('Données projet'!$B$10,Paramètres!$A$1:$I$89,3,0)*0.475*44/12</f>
        <v>2.295041763582357E-23</v>
      </c>
      <c r="AX189" s="21">
        <f t="shared" si="166"/>
        <v>4.6052265146238822E-2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-5.3205440053716299E-14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215.23235148064941</v>
      </c>
      <c r="BJ189" s="59">
        <f t="shared" si="146"/>
        <v>184.07239726900434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0.14270720004618417</v>
      </c>
      <c r="BQ189" s="21">
        <f>EXP(-LN(2)/25)*BQ188+(1-EXP(-LN(2)/25))/(LN(2)/25)*Calculateur!BL189*Calculateur!BN189*VLOOKUP('Données projet'!$B$11,Paramètres!$A$1:$I$89,3,0)*0.475*44/12</f>
        <v>0.10393090028397958</v>
      </c>
      <c r="BR189" s="21">
        <f>EXP(-LN(2)/2)*BR188+(1-EXP(-LN(2)/2))/(LN(2)/2)*BL189*BO189*VLOOKUP('Données projet'!$B$11,Paramètres!$A$1:$I$89,3,0)*0.475*44/12</f>
        <v>3.2531943054802841E-23</v>
      </c>
      <c r="BS189" s="22">
        <f t="shared" si="169"/>
        <v>0.24663810033016376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-1.223725121235475E-13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303.1504619632214</v>
      </c>
      <c r="CE189" s="59">
        <f t="shared" si="148"/>
        <v>188.09929616366503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4.888625069369968E-2</v>
      </c>
      <c r="CM189" s="21">
        <f>EXP(-LN(2)/2)*CM188+(1-EXP(-LN(2)/2))/(LN(2)/2)*CG189*CJ189*VLOOKUP('Données projet'!$B$12,Paramètres!$A$1:$I$89,3,0)*0.475*44/12</f>
        <v>2.4362751028797374E-23</v>
      </c>
      <c r="CN189" s="22">
        <f t="shared" si="172"/>
        <v>4.888625069369968E-2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5.6843418860808015E-14</v>
      </c>
      <c r="CU189" s="17">
        <f>CT189*VLOOKUP('Données projet'!$B$13,Paramètres!$A$1:$I$89,3,0)*VLOOKUP('Données projet'!$B$13,Paramètres!$A$1:$I$89,5,0)</f>
        <v>3.813056537183002E-14</v>
      </c>
      <c r="CV189" s="13">
        <f t="shared" si="173"/>
        <v>6.4086286045526829E-13</v>
      </c>
      <c r="CW189" s="20">
        <f t="shared" si="174"/>
        <v>1.1825802166488628E-12</v>
      </c>
      <c r="CX189" s="59">
        <f t="shared" si="122"/>
        <v>293.33333333333451</v>
      </c>
      <c r="CY189" s="59">
        <f ca="1">AVERAGE(OFFSET($CX$3,0,0,'Données projet'!$E$13+1,1))-AVERAGE(OFFSET($H$3,0,0,'Données projet'!$E$13+1,1))</f>
        <v>156.63226020379989</v>
      </c>
      <c r="CZ189" s="59">
        <f t="shared" si="150"/>
        <v>196.0481096619543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0.11470700712995463</v>
      </c>
      <c r="DH189" s="21">
        <f>EXP(-LN(2)/2)*DH188+(1-EXP(-LN(2)/2))/(LN(2)/2)*DB189*DE189*VLOOKUP('Données projet'!$B$13,Paramètres!$A$1:$I$89,3,0)*0.475*44/12</f>
        <v>3.0021596544341175E-23</v>
      </c>
      <c r="DI189" s="22">
        <f t="shared" si="175"/>
        <v>0.11470700712995463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-8.5265128291212022E-14</v>
      </c>
      <c r="DP189" s="17">
        <f>DO189*VLOOKUP('Données projet'!$B$14,Paramètres!$A$1:$I$89,3,0)*VLOOKUP('Données projet'!$B$14,Paramètres!$A$1:$I$89,5,0)</f>
        <v>-7.7147888077888636E-14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225.28075317732998</v>
      </c>
      <c r="DU189" s="59">
        <f t="shared" si="152"/>
        <v>358.43407531256207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0.10214027934039645</v>
      </c>
      <c r="EB189" s="21">
        <f>EXP(-LN(2)/25)*EB188+(1-EXP(-LN(2)/25))/(LN(2)/25)*Calculateur!DW189*Calculateur!DY189*VLOOKUP('Données projet'!$B$14,Paramètres!$A$1:$I$89,3,0)*0.475*44/12</f>
        <v>0.10944258152248404</v>
      </c>
      <c r="EC189" s="21">
        <f>EXP(-LN(2)/2)*EC188+(1-EXP(-LN(2)/2))/(LN(2)/2)*DW189*DZ189*VLOOKUP('Données projet'!$B$14,Paramètres!$A$1:$I$89,3,0)*0.475*44/12</f>
        <v>1.4604770758809955E-23</v>
      </c>
      <c r="ED189" s="22">
        <f t="shared" si="178"/>
        <v>0.21158286086288047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-5.6843418860808015E-13</v>
      </c>
      <c r="EK189" s="17">
        <f>EJ189*VLOOKUP('Données projet'!$B$15,Paramètres!$A$1:$I$89,3,0)*VLOOKUP('Données projet'!$B$15,Paramètres!$A$1:$I$89,5,0)</f>
        <v>-3.177547114319168E-13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326.31232746914907</v>
      </c>
      <c r="EP189" s="59">
        <f t="shared" si="154"/>
        <v>330.17137761430297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0.20796353044735627</v>
      </c>
      <c r="EW189" s="21">
        <f>EXP(-LN(2)/25)*EW188+(1-EXP(-LN(2)/25))/(LN(2)/25)*Calculateur!ER189*Calculateur!ET189*VLOOKUP('Données projet'!$B$15,Paramètres!$A$1:$I$89,3,0)*0.475*44/12</f>
        <v>0.399200039164682</v>
      </c>
      <c r="EX189" s="21">
        <f>EXP(-LN(2)/2)*EX188+(1-EXP(-LN(2)/2))/(LN(2)/2)*ER189*EU189*VLOOKUP('Données projet'!$B$15,Paramètres!$A$1:$I$89,3,0)*0.475*44/12</f>
        <v>1.0760656391904128E-22</v>
      </c>
      <c r="EY189" s="22">
        <f t="shared" si="181"/>
        <v>0.60716356961203832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255.41017495879987</v>
      </c>
      <c r="FK189" s="59">
        <f t="shared" si="156"/>
        <v>297.50513563712764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0.37987418669453626</v>
      </c>
      <c r="FR189" s="21">
        <f>EXP(-LN(2)/25)*FR188+(1-EXP(-LN(2)/25))/(LN(2)/25)*Calculateur!FM189*Calculateur!FO189*VLOOKUP('Données projet'!$B$16,Paramètres!$A$1:$I$89,3,0)*0.475*44/12</f>
        <v>0.36872937249198823</v>
      </c>
      <c r="FS189" s="21">
        <f>EXP(-LN(2)/2)*FS188+(1-EXP(-LN(2)/2))/(LN(2)/2)*FM189*FP189*VLOOKUP('Données projet'!$B$16,Paramètres!$A$1:$I$89,3,0)*0.475*44/12</f>
        <v>8.0736768926617114E-23</v>
      </c>
      <c r="FT189" s="22">
        <f t="shared" si="184"/>
        <v>0.74860355918652455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1.1368683772161603E-13</v>
      </c>
      <c r="GA189" s="17">
        <f>FZ189*VLOOKUP('Données projet'!$B$17,Paramètres!$A$1:$I$89,3,0)*VLOOKUP('Données projet'!$B$17,Paramètres!$A$1:$I$89,5,0)</f>
        <v>6.7984728957526396E-14</v>
      </c>
      <c r="GB189" s="13">
        <f t="shared" si="185"/>
        <v>1.0682447123141398E-12</v>
      </c>
      <c r="GC189" s="20">
        <f t="shared" si="186"/>
        <v>1.978932943548152E-12</v>
      </c>
      <c r="GD189" s="59">
        <f t="shared" si="134"/>
        <v>293.3333333333353</v>
      </c>
      <c r="GE189" s="59">
        <f ca="1">AVERAGE(OFFSET($GD$3,0,0,'Données projet'!$E$17+1,1))-AVERAGE(OFFSET($H$3,0,0,'Données projet'!$E$17+1,1))</f>
        <v>259.30247982593914</v>
      </c>
      <c r="GF189" s="59">
        <f t="shared" si="158"/>
        <v>275.24740346220779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</v>
      </c>
      <c r="GM189" s="21">
        <f>EXP(-LN(2)/25)*GM188+(1-EXP(-LN(2)/25))/(LN(2)/25)*Calculateur!GH189*Calculateur!GJ189*VLOOKUP('Données projet'!$B$17,Paramètres!$A$1:$I$89,3,0)*0.475*44/12</f>
        <v>0.23858389457213394</v>
      </c>
      <c r="GN189" s="21">
        <f>EXP(-LN(2)/2)*GN188+(1-EXP(-LN(2)/2))/(LN(2)/2)*GH189*GK189*VLOOKUP('Données projet'!$B$17,Paramètres!$A$1:$I$89,3,0)*0.475*44/12</f>
        <v>9.4895715573375864E-23</v>
      </c>
      <c r="GO189" s="21">
        <f t="shared" si="187"/>
        <v>0.23858389457213394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5.6843418860808015E-14</v>
      </c>
      <c r="GV189" s="17">
        <f>GU189*VLOOKUP('Données projet'!$B$18,Paramètres!$A$1:$I$89,3,0)*VLOOKUP('Données projet'!$B$18,Paramètres!$A$1:$I$89,5,0)</f>
        <v>4.5224624045658861E-14</v>
      </c>
      <c r="GW189" s="13">
        <f t="shared" si="188"/>
        <v>7.4514601661523691E-13</v>
      </c>
      <c r="GX189" s="20">
        <f t="shared" si="189"/>
        <v>1.3765621991510601E-12</v>
      </c>
      <c r="GY189" s="59">
        <f t="shared" si="137"/>
        <v>293.33333333333468</v>
      </c>
      <c r="GZ189" s="59">
        <f ca="1">AVERAGE(OFFSET($GY$3,0,0,'Données projet'!$E$18+1,1))-AVERAGE(OFFSET($H$3,0,0,'Données projet'!$E$18+1,1))</f>
        <v>199.58763537752952</v>
      </c>
      <c r="HA189" s="59">
        <f t="shared" si="160"/>
        <v>242.62852778451929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0</v>
      </c>
      <c r="HH189" s="21">
        <f>EXP(-LN(2)/25)*HH188+(1-EXP(-LN(2)/25))/(LN(2)/25)*Calculateur!HC189*Calculateur!HE189*VLOOKUP('Données projet'!$B$18,Paramètres!$A$1:$I$89,3,0)*0.475*44/12</f>
        <v>0.13604784566575989</v>
      </c>
      <c r="HI189" s="21">
        <f>EXP(-LN(2)/2)*HI188+(1-EXP(-LN(2)/2))/(LN(2)/2)*HC189*HF189*VLOOKUP('Données projet'!$B$18,Paramètres!$A$1:$I$89,3,0)*0.475*44/12</f>
        <v>3.5607009854916311E-23</v>
      </c>
      <c r="HJ189" s="22">
        <f t="shared" si="190"/>
        <v>0.13604784566575989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-1.0286385077051818E-13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237.22177246688199</v>
      </c>
      <c r="T190" s="59">
        <f t="shared" si="142"/>
        <v>149.27472147904302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3.9969105922674338E-2</v>
      </c>
      <c r="AB190" s="21">
        <f>EXP(-LN(2)/2)*AB189+(1-EXP(-LN(2)/2))/(LN(2)/2)*V190*Y190*VLOOKUP('Données projet'!$B$9,Paramètres!$A$1:$I$89,3,0)*0.475*44/12</f>
        <v>1.4480722532285269E-23</v>
      </c>
      <c r="AC190" s="22">
        <f t="shared" si="163"/>
        <v>3.9969105922674338E-2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-1.1527845344971866E-13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279.20364724206644</v>
      </c>
      <c r="AO190" s="59">
        <f t="shared" si="144"/>
        <v>173.99850582760712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4.4792963534031553E-2</v>
      </c>
      <c r="AW190" s="21">
        <f>EXP(-LN(2)/2)*AW189+(1-EXP(-LN(2)/2))/(LN(2)/2)*AQ190*AT190*VLOOKUP('Données projet'!$B$10,Paramètres!$A$1:$I$89,3,0)*0.475*44/12</f>
        <v>1.6228395941354178E-23</v>
      </c>
      <c r="AX190" s="21">
        <f t="shared" si="166"/>
        <v>4.4792963534031553E-2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-5.3205440053716299E-14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215.23235148064941</v>
      </c>
      <c r="BJ190" s="59">
        <f t="shared" si="146"/>
        <v>184.07239726900434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0.13990879889607577</v>
      </c>
      <c r="BQ190" s="21">
        <f>EXP(-LN(2)/25)*BQ189+(1-EXP(-LN(2)/25))/(LN(2)/25)*Calculateur!BL190*Calculateur!BN190*VLOOKUP('Données projet'!$B$11,Paramètres!$A$1:$I$89,3,0)*0.475*44/12</f>
        <v>0.10108890435022565</v>
      </c>
      <c r="BR190" s="21">
        <f>EXP(-LN(2)/2)*BR189+(1-EXP(-LN(2)/2))/(LN(2)/2)*BL190*BO190*VLOOKUP('Données projet'!$B$11,Paramètres!$A$1:$I$89,3,0)*0.475*44/12</f>
        <v>2.3003557539225697E-23</v>
      </c>
      <c r="BS190" s="22">
        <f t="shared" si="169"/>
        <v>0.24099770324630143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-1.223725121235475E-13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303.1504619632214</v>
      </c>
      <c r="CE190" s="59">
        <f t="shared" si="148"/>
        <v>188.09929616366503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4.7549453597664271E-2</v>
      </c>
      <c r="CM190" s="21">
        <f>EXP(-LN(2)/2)*CM189+(1-EXP(-LN(2)/2))/(LN(2)/2)*CG190*CJ190*VLOOKUP('Données projet'!$B$12,Paramètres!$A$1:$I$89,3,0)*0.475*44/12</f>
        <v>1.722706646082216E-23</v>
      </c>
      <c r="CN190" s="22">
        <f t="shared" si="172"/>
        <v>4.7549453597664271E-2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5.6843418860808015E-14</v>
      </c>
      <c r="CU190" s="17">
        <f>CT190*VLOOKUP('Données projet'!$B$13,Paramètres!$A$1:$I$89,3,0)*VLOOKUP('Données projet'!$B$13,Paramètres!$A$1:$I$89,5,0)</f>
        <v>3.813056537183002E-14</v>
      </c>
      <c r="CV190" s="13">
        <f t="shared" si="173"/>
        <v>6.4086286045526829E-13</v>
      </c>
      <c r="CW190" s="20">
        <f t="shared" si="174"/>
        <v>1.1825802166488628E-12</v>
      </c>
      <c r="CX190" s="59">
        <f t="shared" si="122"/>
        <v>293.33333333333451</v>
      </c>
      <c r="CY190" s="59">
        <f ca="1">AVERAGE(OFFSET($CX$3,0,0,'Données projet'!$E$13+1,1))-AVERAGE(OFFSET($H$3,0,0,'Données projet'!$E$13+1,1))</f>
        <v>156.63226020379989</v>
      </c>
      <c r="CZ190" s="59">
        <f t="shared" si="150"/>
        <v>196.0481096619543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0.11157033798780668</v>
      </c>
      <c r="DH190" s="21">
        <f>EXP(-LN(2)/2)*DH189+(1-EXP(-LN(2)/2))/(LN(2)/2)*DB190*DE190*VLOOKUP('Données projet'!$B$13,Paramètres!$A$1:$I$89,3,0)*0.475*44/12</f>
        <v>2.1228474498550267E-23</v>
      </c>
      <c r="DI190" s="22">
        <f t="shared" si="175"/>
        <v>0.11157033798780668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-8.5265128291212022E-14</v>
      </c>
      <c r="DP190" s="17">
        <f>DO190*VLOOKUP('Données projet'!$B$14,Paramètres!$A$1:$I$89,3,0)*VLOOKUP('Données projet'!$B$14,Paramètres!$A$1:$I$89,5,0)</f>
        <v>-7.7147888077888636E-14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225.28075317732998</v>
      </c>
      <c r="DU190" s="59">
        <f t="shared" si="152"/>
        <v>358.43407531256207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0.10013737076195012</v>
      </c>
      <c r="EB190" s="21">
        <f>EXP(-LN(2)/25)*EB189+(1-EXP(-LN(2)/25))/(LN(2)/25)*Calculateur!DW190*Calculateur!DY190*VLOOKUP('Données projet'!$B$14,Paramètres!$A$1:$I$89,3,0)*0.475*44/12</f>
        <v>0.10644986837541648</v>
      </c>
      <c r="EC190" s="21">
        <f>EXP(-LN(2)/2)*EC189+(1-EXP(-LN(2)/2))/(LN(2)/2)*DW190*DZ190*VLOOKUP('Données projet'!$B$14,Paramètres!$A$1:$I$89,3,0)*0.475*44/12</f>
        <v>1.0327132441229519E-23</v>
      </c>
      <c r="ED190" s="22">
        <f t="shared" si="178"/>
        <v>0.2065872391373666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-5.6843418860808015E-13</v>
      </c>
      <c r="EK190" s="17">
        <f>EJ190*VLOOKUP('Données projet'!$B$15,Paramètres!$A$1:$I$89,3,0)*VLOOKUP('Données projet'!$B$15,Paramètres!$A$1:$I$89,5,0)</f>
        <v>-3.177547114319168E-13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326.31232746914907</v>
      </c>
      <c r="EP190" s="59">
        <f t="shared" si="154"/>
        <v>330.17137761430297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0.20388549246051227</v>
      </c>
      <c r="EW190" s="21">
        <f>EXP(-LN(2)/25)*EW189+(1-EXP(-LN(2)/25))/(LN(2)/25)*Calculateur!ER190*Calculateur!ET190*VLOOKUP('Données projet'!$B$15,Paramètres!$A$1:$I$89,3,0)*0.475*44/12</f>
        <v>0.3882838931007061</v>
      </c>
      <c r="EX190" s="21">
        <f>EXP(-LN(2)/2)*EX189+(1-EXP(-LN(2)/2))/(LN(2)/2)*ER190*EU190*VLOOKUP('Données projet'!$B$15,Paramètres!$A$1:$I$89,3,0)*0.475*44/12</f>
        <v>7.6089331047337764E-23</v>
      </c>
      <c r="EY190" s="22">
        <f t="shared" si="181"/>
        <v>0.59216938556121834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255.41017495879987</v>
      </c>
      <c r="FK190" s="59">
        <f t="shared" si="156"/>
        <v>297.50513563712764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0.37242508559383181</v>
      </c>
      <c r="FR190" s="21">
        <f>EXP(-LN(2)/25)*FR189+(1-EXP(-LN(2)/25))/(LN(2)/25)*Calculateur!FM190*Calculateur!FO190*VLOOKUP('Données projet'!$B$16,Paramètres!$A$1:$I$89,3,0)*0.475*44/12</f>
        <v>0.35864644841055987</v>
      </c>
      <c r="FS190" s="21">
        <f>EXP(-LN(2)/2)*FS189+(1-EXP(-LN(2)/2))/(LN(2)/2)*FM190*FP190*VLOOKUP('Données projet'!$B$16,Paramètres!$A$1:$I$89,3,0)*0.475*44/12</f>
        <v>5.7089516799102296E-23</v>
      </c>
      <c r="FT190" s="22">
        <f t="shared" si="184"/>
        <v>0.73107153400439162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1.1368683772161603E-13</v>
      </c>
      <c r="GA190" s="17">
        <f>FZ190*VLOOKUP('Données projet'!$B$17,Paramètres!$A$1:$I$89,3,0)*VLOOKUP('Données projet'!$B$17,Paramètres!$A$1:$I$89,5,0)</f>
        <v>6.7984728957526396E-14</v>
      </c>
      <c r="GB190" s="13">
        <f t="shared" si="185"/>
        <v>1.0682447123141398E-12</v>
      </c>
      <c r="GC190" s="20">
        <f t="shared" si="186"/>
        <v>1.978932943548152E-12</v>
      </c>
      <c r="GD190" s="59">
        <f t="shared" si="134"/>
        <v>293.3333333333353</v>
      </c>
      <c r="GE190" s="59">
        <f ca="1">AVERAGE(OFFSET($GD$3,0,0,'Données projet'!$E$17+1,1))-AVERAGE(OFFSET($H$3,0,0,'Données projet'!$E$17+1,1))</f>
        <v>259.30247982593914</v>
      </c>
      <c r="GF190" s="59">
        <f t="shared" si="158"/>
        <v>275.24740346220779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</v>
      </c>
      <c r="GM190" s="21">
        <f>EXP(-LN(2)/25)*GM189+(1-EXP(-LN(2)/25))/(LN(2)/25)*Calculateur!GH190*Calculateur!GJ190*VLOOKUP('Données projet'!$B$17,Paramètres!$A$1:$I$89,3,0)*0.475*44/12</f>
        <v>0.23205980542847721</v>
      </c>
      <c r="GN190" s="21">
        <f>EXP(-LN(2)/2)*GN189+(1-EXP(-LN(2)/2))/(LN(2)/2)*GH190*GK190*VLOOKUP('Données projet'!$B$17,Paramètres!$A$1:$I$89,3,0)*0.475*44/12</f>
        <v>6.7101403987483936E-23</v>
      </c>
      <c r="GO190" s="21">
        <f t="shared" si="187"/>
        <v>0.23205980542847721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5.6843418860808015E-14</v>
      </c>
      <c r="GV190" s="17">
        <f>GU190*VLOOKUP('Données projet'!$B$18,Paramètres!$A$1:$I$89,3,0)*VLOOKUP('Données projet'!$B$18,Paramètres!$A$1:$I$89,5,0)</f>
        <v>4.5224624045658861E-14</v>
      </c>
      <c r="GW190" s="13">
        <f t="shared" si="188"/>
        <v>7.4514601661523691E-13</v>
      </c>
      <c r="GX190" s="20">
        <f t="shared" si="189"/>
        <v>1.3765621991510601E-12</v>
      </c>
      <c r="GY190" s="59">
        <f t="shared" si="137"/>
        <v>293.33333333333468</v>
      </c>
      <c r="GZ190" s="59">
        <f ca="1">AVERAGE(OFFSET($GY$3,0,0,'Données projet'!$E$18+1,1))-AVERAGE(OFFSET($H$3,0,0,'Données projet'!$E$18+1,1))</f>
        <v>199.58763537752952</v>
      </c>
      <c r="HA190" s="59">
        <f t="shared" si="160"/>
        <v>242.62852778451929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0</v>
      </c>
      <c r="HH190" s="21">
        <f>EXP(-LN(2)/25)*HH189+(1-EXP(-LN(2)/25))/(LN(2)/25)*Calculateur!HC190*Calculateur!HE190*VLOOKUP('Données projet'!$B$18,Paramètres!$A$1:$I$89,3,0)*0.475*44/12</f>
        <v>0.13232761017158443</v>
      </c>
      <c r="HI190" s="21">
        <f>EXP(-LN(2)/2)*HI189+(1-EXP(-LN(2)/2))/(LN(2)/2)*HC190*HF190*VLOOKUP('Données projet'!$B$18,Paramètres!$A$1:$I$89,3,0)*0.475*44/12</f>
        <v>2.517795812618755E-23</v>
      </c>
      <c r="HJ190" s="22">
        <f t="shared" si="190"/>
        <v>0.13232761017158443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-1.0286385077051818E-13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237.22177246688199</v>
      </c>
      <c r="T191" s="59">
        <f t="shared" si="142"/>
        <v>149.27472147904302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3.8876148619334881E-2</v>
      </c>
      <c r="AB191" s="21">
        <f>EXP(-LN(2)/2)*AB190+(1-EXP(-LN(2)/2))/(LN(2)/2)*V191*Y191*VLOOKUP('Données projet'!$B$9,Paramètres!$A$1:$I$89,3,0)*0.475*44/12</f>
        <v>1.0239417099059748E-23</v>
      </c>
      <c r="AC191" s="22">
        <f t="shared" si="163"/>
        <v>3.8876148619334881E-2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-1.1527845344971866E-13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279.20364724206644</v>
      </c>
      <c r="AO191" s="59">
        <f t="shared" si="144"/>
        <v>173.99850582760712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4.3568097590633882E-2</v>
      </c>
      <c r="AW191" s="21">
        <f>EXP(-LN(2)/2)*AW190+(1-EXP(-LN(2)/2))/(LN(2)/2)*AQ191*AT191*VLOOKUP('Données projet'!$B$10,Paramètres!$A$1:$I$89,3,0)*0.475*44/12</f>
        <v>1.1475208817911785E-23</v>
      </c>
      <c r="AX191" s="21">
        <f t="shared" si="166"/>
        <v>4.3568097590633882E-2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-5.3205440053716299E-14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215.23235148064941</v>
      </c>
      <c r="BJ191" s="59">
        <f t="shared" si="146"/>
        <v>184.07239726900434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0.13716527268566484</v>
      </c>
      <c r="BQ191" s="21">
        <f>EXP(-LN(2)/25)*BQ190+(1-EXP(-LN(2)/25))/(LN(2)/25)*Calculateur!BL191*Calculateur!BN191*VLOOKUP('Données projet'!$B$11,Paramètres!$A$1:$I$89,3,0)*0.475*44/12</f>
        <v>9.8324622944734291E-2</v>
      </c>
      <c r="BR191" s="21">
        <f>EXP(-LN(2)/2)*BR190+(1-EXP(-LN(2)/2))/(LN(2)/2)*BL191*BO191*VLOOKUP('Données projet'!$B$11,Paramètres!$A$1:$I$89,3,0)*0.475*44/12</f>
        <v>1.626597152740142E-23</v>
      </c>
      <c r="BS191" s="22">
        <f t="shared" si="169"/>
        <v>0.23548989563039913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-1.223725121235475E-13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303.1504619632214</v>
      </c>
      <c r="CE191" s="59">
        <f t="shared" si="148"/>
        <v>188.09929616366503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4.6249211288519054E-2</v>
      </c>
      <c r="CM191" s="21">
        <f>EXP(-LN(2)/2)*CM190+(1-EXP(-LN(2)/2))/(LN(2)/2)*CG191*CJ191*VLOOKUP('Données projet'!$B$12,Paramètres!$A$1:$I$89,3,0)*0.475*44/12</f>
        <v>1.2181375514398687E-23</v>
      </c>
      <c r="CN191" s="22">
        <f t="shared" si="172"/>
        <v>4.6249211288519054E-2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5.6843418860808015E-14</v>
      </c>
      <c r="CU191" s="17">
        <f>CT191*VLOOKUP('Données projet'!$B$13,Paramètres!$A$1:$I$89,3,0)*VLOOKUP('Données projet'!$B$13,Paramètres!$A$1:$I$89,5,0)</f>
        <v>3.813056537183002E-14</v>
      </c>
      <c r="CV191" s="13">
        <f t="shared" si="173"/>
        <v>6.4086286045526829E-13</v>
      </c>
      <c r="CW191" s="20">
        <f t="shared" si="174"/>
        <v>1.1825802166488628E-12</v>
      </c>
      <c r="CX191" s="59">
        <f t="shared" si="122"/>
        <v>293.33333333333451</v>
      </c>
      <c r="CY191" s="59">
        <f ca="1">AVERAGE(OFFSET($CX$3,0,0,'Données projet'!$E$13+1,1))-AVERAGE(OFFSET($H$3,0,0,'Données projet'!$E$13+1,1))</f>
        <v>156.63226020379989</v>
      </c>
      <c r="CZ191" s="59">
        <f t="shared" si="150"/>
        <v>196.0481096619543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0.10851944122830103</v>
      </c>
      <c r="DH191" s="21">
        <f>EXP(-LN(2)/2)*DH190+(1-EXP(-LN(2)/2))/(LN(2)/2)*DB191*DE191*VLOOKUP('Données projet'!$B$13,Paramètres!$A$1:$I$89,3,0)*0.475*44/12</f>
        <v>1.5010798272170588E-23</v>
      </c>
      <c r="DI191" s="22">
        <f t="shared" si="175"/>
        <v>0.10851944122830103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-8.5265128291212022E-14</v>
      </c>
      <c r="DP191" s="17">
        <f>DO191*VLOOKUP('Données projet'!$B$14,Paramètres!$A$1:$I$89,3,0)*VLOOKUP('Données projet'!$B$14,Paramètres!$A$1:$I$89,5,0)</f>
        <v>-7.7147888077888636E-14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225.28075317732998</v>
      </c>
      <c r="DU191" s="59">
        <f t="shared" si="152"/>
        <v>358.43407531256207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9.8173737999073515E-2</v>
      </c>
      <c r="EB191" s="21">
        <f>EXP(-LN(2)/25)*EB190+(1-EXP(-LN(2)/25))/(LN(2)/25)*Calculateur!DW191*Calculateur!DY191*VLOOKUP('Données projet'!$B$14,Paramètres!$A$1:$I$89,3,0)*0.475*44/12</f>
        <v>0.10353899112673544</v>
      </c>
      <c r="EC191" s="21">
        <f>EXP(-LN(2)/2)*EC190+(1-EXP(-LN(2)/2))/(LN(2)/2)*DW191*DZ191*VLOOKUP('Données projet'!$B$14,Paramètres!$A$1:$I$89,3,0)*0.475*44/12</f>
        <v>7.3023853794049775E-24</v>
      </c>
      <c r="ED191" s="22">
        <f t="shared" si="178"/>
        <v>0.20171272912580895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-5.6843418860808015E-13</v>
      </c>
      <c r="EK191" s="17">
        <f>EJ191*VLOOKUP('Données projet'!$B$15,Paramètres!$A$1:$I$89,3,0)*VLOOKUP('Données projet'!$B$15,Paramètres!$A$1:$I$89,5,0)</f>
        <v>-3.177547114319168E-13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326.31232746914907</v>
      </c>
      <c r="EP191" s="59">
        <f t="shared" si="154"/>
        <v>330.17137761430297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0.19988742231123272</v>
      </c>
      <c r="EW191" s="21">
        <f>EXP(-LN(2)/25)*EW190+(1-EXP(-LN(2)/25))/(LN(2)/25)*Calculateur!ER191*Calculateur!ET191*VLOOKUP('Données projet'!$B$15,Paramètres!$A$1:$I$89,3,0)*0.475*44/12</f>
        <v>0.3776662496249048</v>
      </c>
      <c r="EX191" s="21">
        <f>EXP(-LN(2)/2)*EX190+(1-EXP(-LN(2)/2))/(LN(2)/2)*ER191*EU191*VLOOKUP('Données projet'!$B$15,Paramètres!$A$1:$I$89,3,0)*0.475*44/12</f>
        <v>5.3803281959520642E-23</v>
      </c>
      <c r="EY191" s="22">
        <f t="shared" si="181"/>
        <v>0.57755367193613749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255.41017495879987</v>
      </c>
      <c r="FK191" s="59">
        <f t="shared" si="156"/>
        <v>297.50513563712764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0.36512205682220911</v>
      </c>
      <c r="FR191" s="21">
        <f>EXP(-LN(2)/25)*FR190+(1-EXP(-LN(2)/25))/(LN(2)/25)*Calculateur!FM191*Calculateur!FO191*VLOOKUP('Données projet'!$B$16,Paramètres!$A$1:$I$89,3,0)*0.475*44/12</f>
        <v>0.34883924241837611</v>
      </c>
      <c r="FS191" s="21">
        <f>EXP(-LN(2)/2)*FS190+(1-EXP(-LN(2)/2))/(LN(2)/2)*FM191*FP191*VLOOKUP('Données projet'!$B$16,Paramètres!$A$1:$I$89,3,0)*0.475*44/12</f>
        <v>4.0368384463308557E-23</v>
      </c>
      <c r="FT191" s="22">
        <f t="shared" si="184"/>
        <v>0.71396129924058527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1.1368683772161603E-13</v>
      </c>
      <c r="GA191" s="17">
        <f>FZ191*VLOOKUP('Données projet'!$B$17,Paramètres!$A$1:$I$89,3,0)*VLOOKUP('Données projet'!$B$17,Paramètres!$A$1:$I$89,5,0)</f>
        <v>6.7984728957526396E-14</v>
      </c>
      <c r="GB191" s="13">
        <f t="shared" si="185"/>
        <v>1.0682447123141398E-12</v>
      </c>
      <c r="GC191" s="20">
        <f t="shared" si="186"/>
        <v>1.978932943548152E-12</v>
      </c>
      <c r="GD191" s="59">
        <f t="shared" si="134"/>
        <v>293.3333333333353</v>
      </c>
      <c r="GE191" s="59">
        <f ca="1">AVERAGE(OFFSET($GD$3,0,0,'Données projet'!$E$17+1,1))-AVERAGE(OFFSET($H$3,0,0,'Données projet'!$E$17+1,1))</f>
        <v>259.30247982593914</v>
      </c>
      <c r="GF191" s="59">
        <f t="shared" si="158"/>
        <v>275.24740346220779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</v>
      </c>
      <c r="GM191" s="21">
        <f>EXP(-LN(2)/25)*GM190+(1-EXP(-LN(2)/25))/(LN(2)/25)*Calculateur!GH191*Calculateur!GJ191*VLOOKUP('Données projet'!$B$17,Paramètres!$A$1:$I$89,3,0)*0.475*44/12</f>
        <v>0.22571411784554071</v>
      </c>
      <c r="GN191" s="21">
        <f>EXP(-LN(2)/2)*GN190+(1-EXP(-LN(2)/2))/(LN(2)/2)*GH191*GK191*VLOOKUP('Données projet'!$B$17,Paramètres!$A$1:$I$89,3,0)*0.475*44/12</f>
        <v>4.7447857786687932E-23</v>
      </c>
      <c r="GO191" s="21">
        <f t="shared" si="187"/>
        <v>0.22571411784554071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5.6843418860808015E-14</v>
      </c>
      <c r="GV191" s="17">
        <f>GU191*VLOOKUP('Données projet'!$B$18,Paramètres!$A$1:$I$89,3,0)*VLOOKUP('Données projet'!$B$18,Paramètres!$A$1:$I$89,5,0)</f>
        <v>4.5224624045658861E-14</v>
      </c>
      <c r="GW191" s="13">
        <f t="shared" si="188"/>
        <v>7.4514601661523691E-13</v>
      </c>
      <c r="GX191" s="20">
        <f t="shared" si="189"/>
        <v>1.3765621991510601E-12</v>
      </c>
      <c r="GY191" s="59">
        <f t="shared" si="137"/>
        <v>293.33333333333468</v>
      </c>
      <c r="GZ191" s="59">
        <f ca="1">AVERAGE(OFFSET($GY$3,0,0,'Données projet'!$E$18+1,1))-AVERAGE(OFFSET($H$3,0,0,'Données projet'!$E$18+1,1))</f>
        <v>199.58763537752952</v>
      </c>
      <c r="HA191" s="59">
        <f t="shared" si="160"/>
        <v>242.62852778451929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0</v>
      </c>
      <c r="HH191" s="21">
        <f>EXP(-LN(2)/25)*HH190+(1-EXP(-LN(2)/25))/(LN(2)/25)*Calculateur!HC191*Calculateur!HE191*VLOOKUP('Données projet'!$B$18,Paramètres!$A$1:$I$89,3,0)*0.475*44/12</f>
        <v>0.12870910471263586</v>
      </c>
      <c r="HI191" s="21">
        <f>EXP(-LN(2)/2)*HI190+(1-EXP(-LN(2)/2))/(LN(2)/2)*HC191*HF191*VLOOKUP('Données projet'!$B$18,Paramètres!$A$1:$I$89,3,0)*0.475*44/12</f>
        <v>1.7803504927458156E-23</v>
      </c>
      <c r="HJ191" s="22">
        <f t="shared" si="190"/>
        <v>0.12870910471263586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-1.0286385077051818E-13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237.22177246688199</v>
      </c>
      <c r="T192" s="59">
        <f t="shared" si="142"/>
        <v>149.27472147904302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3.7813078290931362E-2</v>
      </c>
      <c r="AB192" s="21">
        <f>EXP(-LN(2)/2)*AB191+(1-EXP(-LN(2)/2))/(LN(2)/2)*V192*Y192*VLOOKUP('Données projet'!$B$9,Paramètres!$A$1:$I$89,3,0)*0.475*44/12</f>
        <v>7.2403612661426344E-24</v>
      </c>
      <c r="AC192" s="22">
        <f t="shared" si="163"/>
        <v>3.7813078290931362E-2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-1.1527845344971866E-13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279.20364724206644</v>
      </c>
      <c r="AO192" s="59">
        <f t="shared" si="144"/>
        <v>173.99850582760712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4.2376725670871321E-2</v>
      </c>
      <c r="AW192" s="21">
        <f>EXP(-LN(2)/2)*AW191+(1-EXP(-LN(2)/2))/(LN(2)/2)*AQ192*AT192*VLOOKUP('Données projet'!$B$10,Paramètres!$A$1:$I$89,3,0)*0.475*44/12</f>
        <v>8.1141979706770891E-24</v>
      </c>
      <c r="AX192" s="21">
        <f t="shared" si="166"/>
        <v>4.2376725670871321E-2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-5.3205440053716299E-14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215.23235148064941</v>
      </c>
      <c r="BJ192" s="59">
        <f t="shared" si="146"/>
        <v>184.07239726900434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0.13447554535085429</v>
      </c>
      <c r="BQ192" s="21">
        <f>EXP(-LN(2)/25)*BQ191+(1-EXP(-LN(2)/25))/(LN(2)/25)*Calculateur!BL192*Calculateur!BN192*VLOOKUP('Données projet'!$B$11,Paramètres!$A$1:$I$89,3,0)*0.475*44/12</f>
        <v>9.5635930959643331E-2</v>
      </c>
      <c r="BR192" s="21">
        <f>EXP(-LN(2)/2)*BR191+(1-EXP(-LN(2)/2))/(LN(2)/2)*BL192*BO192*VLOOKUP('Données projet'!$B$11,Paramètres!$A$1:$I$89,3,0)*0.475*44/12</f>
        <v>1.1501778769612849E-23</v>
      </c>
      <c r="BS192" s="22">
        <f t="shared" si="169"/>
        <v>0.23011147631049761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-1.223725121235475E-13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303.1504619632214</v>
      </c>
      <c r="CE192" s="59">
        <f t="shared" si="148"/>
        <v>188.09929616366503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4.4984524173694182E-2</v>
      </c>
      <c r="CM192" s="21">
        <f>EXP(-LN(2)/2)*CM191+(1-EXP(-LN(2)/2))/(LN(2)/2)*CG192*CJ192*VLOOKUP('Données projet'!$B$12,Paramètres!$A$1:$I$89,3,0)*0.475*44/12</f>
        <v>8.61353323041108E-24</v>
      </c>
      <c r="CN192" s="22">
        <f t="shared" si="172"/>
        <v>4.4984524173694182E-2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5.6843418860808015E-14</v>
      </c>
      <c r="CU192" s="17">
        <f>CT192*VLOOKUP('Données projet'!$B$13,Paramètres!$A$1:$I$89,3,0)*VLOOKUP('Données projet'!$B$13,Paramètres!$A$1:$I$89,5,0)</f>
        <v>3.813056537183002E-14</v>
      </c>
      <c r="CV192" s="13">
        <f t="shared" si="173"/>
        <v>6.4086286045526829E-13</v>
      </c>
      <c r="CW192" s="20">
        <f t="shared" si="174"/>
        <v>1.1825802166488628E-12</v>
      </c>
      <c r="CX192" s="59">
        <f t="shared" si="122"/>
        <v>293.33333333333451</v>
      </c>
      <c r="CY192" s="59">
        <f ca="1">AVERAGE(OFFSET($CX$3,0,0,'Données projet'!$E$13+1,1))-AVERAGE(OFFSET($H$3,0,0,'Données projet'!$E$13+1,1))</f>
        <v>156.63226020379989</v>
      </c>
      <c r="CZ192" s="59">
        <f t="shared" si="150"/>
        <v>196.0481096619543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0.10555197140112374</v>
      </c>
      <c r="DH192" s="21">
        <f>EXP(-LN(2)/2)*DH191+(1-EXP(-LN(2)/2))/(LN(2)/2)*DB192*DE192*VLOOKUP('Données projet'!$B$13,Paramètres!$A$1:$I$89,3,0)*0.475*44/12</f>
        <v>1.0614237249275133E-23</v>
      </c>
      <c r="DI192" s="22">
        <f t="shared" si="175"/>
        <v>0.10555197140112374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-8.5265128291212022E-14</v>
      </c>
      <c r="DP192" s="17">
        <f>DO192*VLOOKUP('Données projet'!$B$14,Paramètres!$A$1:$I$89,3,0)*VLOOKUP('Données projet'!$B$14,Paramètres!$A$1:$I$89,5,0)</f>
        <v>-7.7147888077888636E-14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225.28075317732998</v>
      </c>
      <c r="DU192" s="59">
        <f t="shared" si="152"/>
        <v>358.43407531256207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9.6248610876979196E-2</v>
      </c>
      <c r="EB192" s="21">
        <f>EXP(-LN(2)/25)*EB191+(1-EXP(-LN(2)/25))/(LN(2)/25)*Calculateur!DW192*Calculateur!DY192*VLOOKUP('Données projet'!$B$14,Paramètres!$A$1:$I$89,3,0)*0.475*44/12</f>
        <v>0.10070771196949596</v>
      </c>
      <c r="EC192" s="21">
        <f>EXP(-LN(2)/2)*EC191+(1-EXP(-LN(2)/2))/(LN(2)/2)*DW192*DZ192*VLOOKUP('Données projet'!$B$14,Paramètres!$A$1:$I$89,3,0)*0.475*44/12</f>
        <v>5.1635662206147593E-24</v>
      </c>
      <c r="ED192" s="22">
        <f t="shared" si="178"/>
        <v>0.19695632284647516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-5.6843418860808015E-13</v>
      </c>
      <c r="EK192" s="17">
        <f>EJ192*VLOOKUP('Données projet'!$B$15,Paramètres!$A$1:$I$89,3,0)*VLOOKUP('Données projet'!$B$15,Paramètres!$A$1:$I$89,5,0)</f>
        <v>-3.177547114319168E-13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326.31232746914907</v>
      </c>
      <c r="EP192" s="59">
        <f t="shared" si="154"/>
        <v>330.17137761430297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0.19596775187899851</v>
      </c>
      <c r="EW192" s="21">
        <f>EXP(-LN(2)/25)*EW191+(1-EXP(-LN(2)/25))/(LN(2)/25)*Calculateur!ER192*Calculateur!ET192*VLOOKUP('Données projet'!$B$15,Paramètres!$A$1:$I$89,3,0)*0.475*44/12</f>
        <v>0.36733894616830687</v>
      </c>
      <c r="EX192" s="21">
        <f>EXP(-LN(2)/2)*EX191+(1-EXP(-LN(2)/2))/(LN(2)/2)*ER192*EU192*VLOOKUP('Données projet'!$B$15,Paramètres!$A$1:$I$89,3,0)*0.475*44/12</f>
        <v>3.8044665523668882E-23</v>
      </c>
      <c r="EY192" s="22">
        <f t="shared" si="181"/>
        <v>0.56330669804730538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255.41017495879987</v>
      </c>
      <c r="FK192" s="59">
        <f t="shared" si="156"/>
        <v>297.50513563712764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0.35796223599039023</v>
      </c>
      <c r="FR192" s="21">
        <f>EXP(-LN(2)/25)*FR191+(1-EXP(-LN(2)/25))/(LN(2)/25)*Calculateur!FM192*Calculateur!FO192*VLOOKUP('Données projet'!$B$16,Paramètres!$A$1:$I$89,3,0)*0.475*44/12</f>
        <v>0.33930021498978713</v>
      </c>
      <c r="FS192" s="21">
        <f>EXP(-LN(2)/2)*FS191+(1-EXP(-LN(2)/2))/(LN(2)/2)*FM192*FP192*VLOOKUP('Données projet'!$B$16,Paramètres!$A$1:$I$89,3,0)*0.475*44/12</f>
        <v>2.8544758399551148E-23</v>
      </c>
      <c r="FT192" s="22">
        <f t="shared" si="184"/>
        <v>0.69726245098017736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1.1368683772161603E-13</v>
      </c>
      <c r="GA192" s="17">
        <f>FZ192*VLOOKUP('Données projet'!$B$17,Paramètres!$A$1:$I$89,3,0)*VLOOKUP('Données projet'!$B$17,Paramètres!$A$1:$I$89,5,0)</f>
        <v>6.7984728957526396E-14</v>
      </c>
      <c r="GB192" s="13">
        <f t="shared" si="185"/>
        <v>1.0682447123141398E-12</v>
      </c>
      <c r="GC192" s="20">
        <f t="shared" si="186"/>
        <v>1.978932943548152E-12</v>
      </c>
      <c r="GD192" s="59">
        <f t="shared" si="134"/>
        <v>293.3333333333353</v>
      </c>
      <c r="GE192" s="59">
        <f ca="1">AVERAGE(OFFSET($GD$3,0,0,'Données projet'!$E$17+1,1))-AVERAGE(OFFSET($H$3,0,0,'Données projet'!$E$17+1,1))</f>
        <v>259.30247982593914</v>
      </c>
      <c r="GF192" s="59">
        <f t="shared" si="158"/>
        <v>275.24740346220779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</v>
      </c>
      <c r="GM192" s="21">
        <f>EXP(-LN(2)/25)*GM191+(1-EXP(-LN(2)/25))/(LN(2)/25)*Calculateur!GH192*Calculateur!GJ192*VLOOKUP('Données projet'!$B$17,Paramètres!$A$1:$I$89,3,0)*0.475*44/12</f>
        <v>0.21954195342326482</v>
      </c>
      <c r="GN192" s="21">
        <f>EXP(-LN(2)/2)*GN191+(1-EXP(-LN(2)/2))/(LN(2)/2)*GH192*GK192*VLOOKUP('Données projet'!$B$17,Paramètres!$A$1:$I$89,3,0)*0.475*44/12</f>
        <v>3.3550701993741968E-23</v>
      </c>
      <c r="GO192" s="21">
        <f t="shared" si="187"/>
        <v>0.21954195342326482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5.6843418860808015E-14</v>
      </c>
      <c r="GV192" s="17">
        <f>GU192*VLOOKUP('Données projet'!$B$18,Paramètres!$A$1:$I$89,3,0)*VLOOKUP('Données projet'!$B$18,Paramètres!$A$1:$I$89,5,0)</f>
        <v>4.5224624045658861E-14</v>
      </c>
      <c r="GW192" s="13">
        <f t="shared" si="188"/>
        <v>7.4514601661523691E-13</v>
      </c>
      <c r="GX192" s="20">
        <f t="shared" si="189"/>
        <v>1.3765621991510601E-12</v>
      </c>
      <c r="GY192" s="59">
        <f t="shared" si="137"/>
        <v>293.33333333333468</v>
      </c>
      <c r="GZ192" s="59">
        <f ca="1">AVERAGE(OFFSET($GY$3,0,0,'Données projet'!$E$18+1,1))-AVERAGE(OFFSET($H$3,0,0,'Données projet'!$E$18+1,1))</f>
        <v>199.58763537752952</v>
      </c>
      <c r="HA192" s="59">
        <f t="shared" si="160"/>
        <v>242.62852778451929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0</v>
      </c>
      <c r="HH192" s="21">
        <f>EXP(-LN(2)/25)*HH191+(1-EXP(-LN(2)/25))/(LN(2)/25)*Calculateur!HC192*Calculateur!HE192*VLOOKUP('Données projet'!$B$18,Paramètres!$A$1:$I$89,3,0)*0.475*44/12</f>
        <v>0.12518954747575117</v>
      </c>
      <c r="HI192" s="21">
        <f>EXP(-LN(2)/2)*HI191+(1-EXP(-LN(2)/2))/(LN(2)/2)*HC192*HF192*VLOOKUP('Données projet'!$B$18,Paramètres!$A$1:$I$89,3,0)*0.475*44/12</f>
        <v>1.2588979063093775E-23</v>
      </c>
      <c r="HJ192" s="22">
        <f t="shared" si="190"/>
        <v>0.12518954747575117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-1.0286385077051818E-13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237.22177246688199</v>
      </c>
      <c r="T193" s="59">
        <f t="shared" si="142"/>
        <v>149.27472147904302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3.677907767656248E-2</v>
      </c>
      <c r="AB193" s="21">
        <f>EXP(-LN(2)/2)*AB192+(1-EXP(-LN(2)/2))/(LN(2)/2)*V193*Y193*VLOOKUP('Données projet'!$B$9,Paramètres!$A$1:$I$89,3,0)*0.475*44/12</f>
        <v>5.119708549529874E-24</v>
      </c>
      <c r="AC193" s="22">
        <f t="shared" si="163"/>
        <v>3.677907767656248E-2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-1.1527845344971866E-13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279.20364724206644</v>
      </c>
      <c r="AO193" s="59">
        <f t="shared" si="144"/>
        <v>173.99850582760712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4.1217931878906197E-2</v>
      </c>
      <c r="AW193" s="21">
        <f>EXP(-LN(2)/2)*AW192+(1-EXP(-LN(2)/2))/(LN(2)/2)*AQ193*AT193*VLOOKUP('Données projet'!$B$10,Paramètres!$A$1:$I$89,3,0)*0.475*44/12</f>
        <v>5.7376044089558924E-24</v>
      </c>
      <c r="AX193" s="21">
        <f t="shared" si="166"/>
        <v>4.1217931878906197E-2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-5.3205440053716299E-14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215.23235148064941</v>
      </c>
      <c r="BJ193" s="59">
        <f t="shared" si="146"/>
        <v>184.07239726900434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0.13183856192850771</v>
      </c>
      <c r="BQ193" s="21">
        <f>EXP(-LN(2)/25)*BQ192+(1-EXP(-LN(2)/25))/(LN(2)/25)*Calculateur!BL193*Calculateur!BN193*VLOOKUP('Données projet'!$B$11,Paramètres!$A$1:$I$89,3,0)*0.475*44/12</f>
        <v>9.3020761398276849E-2</v>
      </c>
      <c r="BR193" s="21">
        <f>EXP(-LN(2)/2)*BR192+(1-EXP(-LN(2)/2))/(LN(2)/2)*BL193*BO193*VLOOKUP('Données projet'!$B$11,Paramètres!$A$1:$I$89,3,0)*0.475*44/12</f>
        <v>8.1329857637007102E-24</v>
      </c>
      <c r="BS193" s="22">
        <f t="shared" si="169"/>
        <v>0.22485932332678454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-1.223725121235475E-13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303.1504619632214</v>
      </c>
      <c r="CE193" s="59">
        <f t="shared" si="148"/>
        <v>188.09929616366503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4.3754419994531203E-2</v>
      </c>
      <c r="CM193" s="21">
        <f>EXP(-LN(2)/2)*CM192+(1-EXP(-LN(2)/2))/(LN(2)/2)*CG193*CJ193*VLOOKUP('Données projet'!$B$12,Paramètres!$A$1:$I$89,3,0)*0.475*44/12</f>
        <v>6.0906877571993435E-24</v>
      </c>
      <c r="CN193" s="22">
        <f t="shared" si="172"/>
        <v>4.3754419994531203E-2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5.6843418860808015E-14</v>
      </c>
      <c r="CU193" s="17">
        <f>CT193*VLOOKUP('Données projet'!$B$13,Paramètres!$A$1:$I$89,3,0)*VLOOKUP('Données projet'!$B$13,Paramètres!$A$1:$I$89,5,0)</f>
        <v>3.813056537183002E-14</v>
      </c>
      <c r="CV193" s="13">
        <f t="shared" si="173"/>
        <v>6.4086286045526829E-13</v>
      </c>
      <c r="CW193" s="20">
        <f t="shared" si="174"/>
        <v>1.1825802166488628E-12</v>
      </c>
      <c r="CX193" s="59">
        <f t="shared" si="122"/>
        <v>293.33333333333451</v>
      </c>
      <c r="CY193" s="59">
        <f ca="1">AVERAGE(OFFSET($CX$3,0,0,'Données projet'!$E$13+1,1))-AVERAGE(OFFSET($H$3,0,0,'Données projet'!$E$13+1,1))</f>
        <v>156.63226020379989</v>
      </c>
      <c r="CZ193" s="59">
        <f t="shared" si="150"/>
        <v>196.0481096619543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0.10266564719242308</v>
      </c>
      <c r="DH193" s="21">
        <f>EXP(-LN(2)/2)*DH192+(1-EXP(-LN(2)/2))/(LN(2)/2)*DB193*DE193*VLOOKUP('Données projet'!$B$13,Paramètres!$A$1:$I$89,3,0)*0.475*44/12</f>
        <v>7.5053991360852938E-24</v>
      </c>
      <c r="DI193" s="22">
        <f t="shared" si="175"/>
        <v>0.10266564719242308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-8.5265128291212022E-14</v>
      </c>
      <c r="DP193" s="17">
        <f>DO193*VLOOKUP('Données projet'!$B$14,Paramètres!$A$1:$I$89,3,0)*VLOOKUP('Données projet'!$B$14,Paramètres!$A$1:$I$89,5,0)</f>
        <v>-7.7147888077888636E-14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225.28075317732998</v>
      </c>
      <c r="DU193" s="59">
        <f t="shared" si="152"/>
        <v>358.43407531256207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9.4361234323537546E-2</v>
      </c>
      <c r="EB193" s="21">
        <f>EXP(-LN(2)/25)*EB192+(1-EXP(-LN(2)/25))/(LN(2)/25)*Calculateur!DW193*Calculateur!DY193*VLOOKUP('Données projet'!$B$14,Paramètres!$A$1:$I$89,3,0)*0.475*44/12</f>
        <v>9.7953854289701686E-2</v>
      </c>
      <c r="EC193" s="21">
        <f>EXP(-LN(2)/2)*EC192+(1-EXP(-LN(2)/2))/(LN(2)/2)*DW193*DZ193*VLOOKUP('Données projet'!$B$14,Paramètres!$A$1:$I$89,3,0)*0.475*44/12</f>
        <v>3.6511926897024888E-24</v>
      </c>
      <c r="ED193" s="22">
        <f t="shared" si="178"/>
        <v>0.19231508861323923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-5.6843418860808015E-13</v>
      </c>
      <c r="EK193" s="17">
        <f>EJ193*VLOOKUP('Données projet'!$B$15,Paramètres!$A$1:$I$89,3,0)*VLOOKUP('Données projet'!$B$15,Paramètres!$A$1:$I$89,5,0)</f>
        <v>-3.177547114319168E-13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326.31232746914907</v>
      </c>
      <c r="EP193" s="59">
        <f t="shared" si="154"/>
        <v>330.17137761430297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0.19212494379317754</v>
      </c>
      <c r="EW193" s="21">
        <f>EXP(-LN(2)/25)*EW192+(1-EXP(-LN(2)/25))/(LN(2)/25)*Calculateur!ER193*Calculateur!ET193*VLOOKUP('Données projet'!$B$15,Paramètres!$A$1:$I$89,3,0)*0.475*44/12</f>
        <v>0.35729404336781889</v>
      </c>
      <c r="EX193" s="21">
        <f>EXP(-LN(2)/2)*EX192+(1-EXP(-LN(2)/2))/(LN(2)/2)*ER193*EU193*VLOOKUP('Données projet'!$B$15,Paramètres!$A$1:$I$89,3,0)*0.475*44/12</f>
        <v>2.6901640979760321E-23</v>
      </c>
      <c r="EY193" s="22">
        <f t="shared" si="181"/>
        <v>0.54941898716099646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255.41017495879987</v>
      </c>
      <c r="FK193" s="59">
        <f t="shared" si="156"/>
        <v>297.50513563712764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0.35094281487802381</v>
      </c>
      <c r="FR193" s="21">
        <f>EXP(-LN(2)/25)*FR192+(1-EXP(-LN(2)/25))/(LN(2)/25)*Calculateur!FM193*Calculateur!FO193*VLOOKUP('Données projet'!$B$16,Paramètres!$A$1:$I$89,3,0)*0.475*44/12</f>
        <v>0.33002203276786857</v>
      </c>
      <c r="FS193" s="21">
        <f>EXP(-LN(2)/2)*FS192+(1-EXP(-LN(2)/2))/(LN(2)/2)*FM193*FP193*VLOOKUP('Données projet'!$B$16,Paramètres!$A$1:$I$89,3,0)*0.475*44/12</f>
        <v>2.0184192231654279E-23</v>
      </c>
      <c r="FT193" s="22">
        <f t="shared" si="184"/>
        <v>0.68096484764589238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1.1368683772161603E-13</v>
      </c>
      <c r="GA193" s="17">
        <f>FZ193*VLOOKUP('Données projet'!$B$17,Paramètres!$A$1:$I$89,3,0)*VLOOKUP('Données projet'!$B$17,Paramètres!$A$1:$I$89,5,0)</f>
        <v>6.7984728957526396E-14</v>
      </c>
      <c r="GB193" s="13">
        <f t="shared" si="185"/>
        <v>1.0682447123141398E-12</v>
      </c>
      <c r="GC193" s="20">
        <f t="shared" si="186"/>
        <v>1.978932943548152E-12</v>
      </c>
      <c r="GD193" s="59">
        <f t="shared" si="134"/>
        <v>293.3333333333353</v>
      </c>
      <c r="GE193" s="59">
        <f ca="1">AVERAGE(OFFSET($GD$3,0,0,'Données projet'!$E$17+1,1))-AVERAGE(OFFSET($H$3,0,0,'Données projet'!$E$17+1,1))</f>
        <v>259.30247982593914</v>
      </c>
      <c r="GF193" s="59">
        <f t="shared" si="158"/>
        <v>275.24740346220779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</v>
      </c>
      <c r="GM193" s="21">
        <f>EXP(-LN(2)/25)*GM192+(1-EXP(-LN(2)/25))/(LN(2)/25)*Calculateur!GH193*Calculateur!GJ193*VLOOKUP('Données projet'!$B$17,Paramètres!$A$1:$I$89,3,0)*0.475*44/12</f>
        <v>0.21353856716169609</v>
      </c>
      <c r="GN193" s="21">
        <f>EXP(-LN(2)/2)*GN192+(1-EXP(-LN(2)/2))/(LN(2)/2)*GH193*GK193*VLOOKUP('Données projet'!$B$17,Paramètres!$A$1:$I$89,3,0)*0.475*44/12</f>
        <v>2.3723928893343966E-23</v>
      </c>
      <c r="GO193" s="21">
        <f t="shared" si="187"/>
        <v>0.21353856716169609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5.6843418860808015E-14</v>
      </c>
      <c r="GV193" s="17">
        <f>GU193*VLOOKUP('Données projet'!$B$18,Paramètres!$A$1:$I$89,3,0)*VLOOKUP('Données projet'!$B$18,Paramètres!$A$1:$I$89,5,0)</f>
        <v>4.5224624045658861E-14</v>
      </c>
      <c r="GW193" s="13">
        <f t="shared" si="188"/>
        <v>7.4514601661523691E-13</v>
      </c>
      <c r="GX193" s="20">
        <f t="shared" si="189"/>
        <v>1.3765621991510601E-12</v>
      </c>
      <c r="GY193" s="59">
        <f t="shared" si="137"/>
        <v>293.33333333333468</v>
      </c>
      <c r="GZ193" s="59">
        <f ca="1">AVERAGE(OFFSET($GY$3,0,0,'Données projet'!$E$18+1,1))-AVERAGE(OFFSET($H$3,0,0,'Données projet'!$E$18+1,1))</f>
        <v>199.58763537752952</v>
      </c>
      <c r="HA193" s="59">
        <f t="shared" si="160"/>
        <v>242.62852778451929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0</v>
      </c>
      <c r="HH193" s="21">
        <f>EXP(-LN(2)/25)*HH192+(1-EXP(-LN(2)/25))/(LN(2)/25)*Calculateur!HC193*Calculateur!HE193*VLOOKUP('Données projet'!$B$18,Paramètres!$A$1:$I$89,3,0)*0.475*44/12</f>
        <v>0.12176623271659458</v>
      </c>
      <c r="HI193" s="21">
        <f>EXP(-LN(2)/2)*HI192+(1-EXP(-LN(2)/2))/(LN(2)/2)*HC193*HF193*VLOOKUP('Données projet'!$B$18,Paramètres!$A$1:$I$89,3,0)*0.475*44/12</f>
        <v>8.9017524637290778E-24</v>
      </c>
      <c r="HJ193" s="22">
        <f t="shared" si="190"/>
        <v>0.12176623271659458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-1.0286385077051818E-13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237.22177246688199</v>
      </c>
      <c r="T194" s="59">
        <f t="shared" si="142"/>
        <v>149.27472147904302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3.5773351863369246E-2</v>
      </c>
      <c r="AB194" s="21">
        <f>EXP(-LN(2)/2)*AB193+(1-EXP(-LN(2)/2))/(LN(2)/2)*V194*Y194*VLOOKUP('Données projet'!$B$9,Paramètres!$A$1:$I$89,3,0)*0.475*44/12</f>
        <v>3.6201806330713172E-24</v>
      </c>
      <c r="AC194" s="22">
        <f t="shared" si="163"/>
        <v>3.5773351863369246E-2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-1.1527845344971866E-13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279.20364724206644</v>
      </c>
      <c r="AO194" s="59">
        <f t="shared" si="144"/>
        <v>173.99850582760712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4.0090825364120675E-2</v>
      </c>
      <c r="AW194" s="21">
        <f>EXP(-LN(2)/2)*AW193+(1-EXP(-LN(2)/2))/(LN(2)/2)*AQ194*AT194*VLOOKUP('Données projet'!$B$10,Paramètres!$A$1:$I$89,3,0)*0.475*44/12</f>
        <v>4.0570989853385445E-24</v>
      </c>
      <c r="AX194" s="21">
        <f t="shared" si="166"/>
        <v>4.0090825364120675E-2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-5.3205440053716299E-14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215.23235148064941</v>
      </c>
      <c r="BJ194" s="59">
        <f t="shared" si="146"/>
        <v>184.07239726900434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0.12925328814267226</v>
      </c>
      <c r="BQ194" s="21">
        <f>EXP(-LN(2)/25)*BQ193+(1-EXP(-LN(2)/25))/(LN(2)/25)*Calculateur!BL194*Calculateur!BN194*VLOOKUP('Données projet'!$B$11,Paramètres!$A$1:$I$89,3,0)*0.475*44/12</f>
        <v>9.0477103786091723E-2</v>
      </c>
      <c r="BR194" s="21">
        <f>EXP(-LN(2)/2)*BR193+(1-EXP(-LN(2)/2))/(LN(2)/2)*BL194*BO194*VLOOKUP('Données projet'!$B$11,Paramètres!$A$1:$I$89,3,0)*0.475*44/12</f>
        <v>5.7508893848064243E-24</v>
      </c>
      <c r="BS194" s="22">
        <f t="shared" si="169"/>
        <v>0.21973039192876398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-1.223725121235475E-13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303.1504619632214</v>
      </c>
      <c r="CE194" s="59">
        <f t="shared" si="148"/>
        <v>188.09929616366503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4.2557953078835802E-2</v>
      </c>
      <c r="CM194" s="21">
        <f>EXP(-LN(2)/2)*CM193+(1-EXP(-LN(2)/2))/(LN(2)/2)*CG194*CJ194*VLOOKUP('Données projet'!$B$12,Paramètres!$A$1:$I$89,3,0)*0.475*44/12</f>
        <v>4.30676661520554E-24</v>
      </c>
      <c r="CN194" s="22">
        <f t="shared" si="172"/>
        <v>4.2557953078835802E-2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5.6843418860808015E-14</v>
      </c>
      <c r="CU194" s="17">
        <f>CT194*VLOOKUP('Données projet'!$B$13,Paramètres!$A$1:$I$89,3,0)*VLOOKUP('Données projet'!$B$13,Paramètres!$A$1:$I$89,5,0)</f>
        <v>3.813056537183002E-14</v>
      </c>
      <c r="CV194" s="13">
        <f t="shared" si="173"/>
        <v>6.4086286045526829E-13</v>
      </c>
      <c r="CW194" s="20">
        <f t="shared" si="174"/>
        <v>1.1825802166488628E-12</v>
      </c>
      <c r="CX194" s="59">
        <f t="shared" si="122"/>
        <v>293.33333333333451</v>
      </c>
      <c r="CY194" s="59">
        <f ca="1">AVERAGE(OFFSET($CX$3,0,0,'Données projet'!$E$13+1,1))-AVERAGE(OFFSET($H$3,0,0,'Données projet'!$E$13+1,1))</f>
        <v>156.63226020379989</v>
      </c>
      <c r="CZ194" s="59">
        <f t="shared" si="150"/>
        <v>196.0481096619543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9.985824967099452E-2</v>
      </c>
      <c r="DH194" s="21">
        <f>EXP(-LN(2)/2)*DH193+(1-EXP(-LN(2)/2))/(LN(2)/2)*DB194*DE194*VLOOKUP('Données projet'!$B$13,Paramètres!$A$1:$I$89,3,0)*0.475*44/12</f>
        <v>5.3071186246375667E-24</v>
      </c>
      <c r="DI194" s="22">
        <f t="shared" si="175"/>
        <v>9.985824967099452E-2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-8.5265128291212022E-14</v>
      </c>
      <c r="DP194" s="17">
        <f>DO194*VLOOKUP('Données projet'!$B$14,Paramètres!$A$1:$I$89,3,0)*VLOOKUP('Données projet'!$B$14,Paramètres!$A$1:$I$89,5,0)</f>
        <v>-7.7147888077888636E-14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225.28075317732998</v>
      </c>
      <c r="DU194" s="59">
        <f t="shared" si="152"/>
        <v>358.43407531256207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9.2510868073122865E-2</v>
      </c>
      <c r="EB194" s="21">
        <f>EXP(-LN(2)/25)*EB193+(1-EXP(-LN(2)/25))/(LN(2)/25)*Calculateur!DW194*Calculateur!DY194*VLOOKUP('Données projet'!$B$14,Paramètres!$A$1:$I$89,3,0)*0.475*44/12</f>
        <v>9.5275300992980469E-2</v>
      </c>
      <c r="EC194" s="21">
        <f>EXP(-LN(2)/2)*EC193+(1-EXP(-LN(2)/2))/(LN(2)/2)*DW194*DZ194*VLOOKUP('Données projet'!$B$14,Paramètres!$A$1:$I$89,3,0)*0.475*44/12</f>
        <v>2.5817831103073796E-24</v>
      </c>
      <c r="ED194" s="22">
        <f t="shared" si="178"/>
        <v>0.18778616906610335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-5.6843418860808015E-13</v>
      </c>
      <c r="EK194" s="17">
        <f>EJ194*VLOOKUP('Données projet'!$B$15,Paramètres!$A$1:$I$89,3,0)*VLOOKUP('Données projet'!$B$15,Paramètres!$A$1:$I$89,5,0)</f>
        <v>-3.177547114319168E-13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326.31232746914907</v>
      </c>
      <c r="EP194" s="59">
        <f t="shared" si="154"/>
        <v>330.17137761430297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0.18835749083003803</v>
      </c>
      <c r="EW194" s="21">
        <f>EXP(-LN(2)/25)*EW193+(1-EXP(-LN(2)/25))/(LN(2)/25)*Calculateur!ER194*Calculateur!ET194*VLOOKUP('Données projet'!$B$15,Paramètres!$A$1:$I$89,3,0)*0.475*44/12</f>
        <v>0.34752381896264872</v>
      </c>
      <c r="EX194" s="21">
        <f>EXP(-LN(2)/2)*EX193+(1-EXP(-LN(2)/2))/(LN(2)/2)*ER194*EU194*VLOOKUP('Données projet'!$B$15,Paramètres!$A$1:$I$89,3,0)*0.475*44/12</f>
        <v>1.9022332761834441E-23</v>
      </c>
      <c r="EY194" s="22">
        <f t="shared" si="181"/>
        <v>0.53588130979268678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255.41017495879987</v>
      </c>
      <c r="FK194" s="59">
        <f t="shared" si="156"/>
        <v>297.50513563712764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0.34406104033224677</v>
      </c>
      <c r="FR194" s="21">
        <f>EXP(-LN(2)/25)*FR193+(1-EXP(-LN(2)/25))/(LN(2)/25)*Calculateur!FM194*Calculateur!FO194*VLOOKUP('Données projet'!$B$16,Paramètres!$A$1:$I$89,3,0)*0.475*44/12</f>
        <v>0.32099756292672676</v>
      </c>
      <c r="FS194" s="21">
        <f>EXP(-LN(2)/2)*FS193+(1-EXP(-LN(2)/2))/(LN(2)/2)*FM194*FP194*VLOOKUP('Données projet'!$B$16,Paramètres!$A$1:$I$89,3,0)*0.475*44/12</f>
        <v>1.4272379199775574E-23</v>
      </c>
      <c r="FT194" s="22">
        <f t="shared" si="184"/>
        <v>0.66505860325897359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1.1368683772161603E-13</v>
      </c>
      <c r="GA194" s="17">
        <f>FZ194*VLOOKUP('Données projet'!$B$17,Paramètres!$A$1:$I$89,3,0)*VLOOKUP('Données projet'!$B$17,Paramètres!$A$1:$I$89,5,0)</f>
        <v>6.7984728957526396E-14</v>
      </c>
      <c r="GB194" s="13">
        <f t="shared" si="185"/>
        <v>1.0682447123141398E-12</v>
      </c>
      <c r="GC194" s="20">
        <f t="shared" si="186"/>
        <v>1.978932943548152E-12</v>
      </c>
      <c r="GD194" s="59">
        <f t="shared" si="134"/>
        <v>293.3333333333353</v>
      </c>
      <c r="GE194" s="59">
        <f ca="1">AVERAGE(OFFSET($GD$3,0,0,'Données projet'!$E$17+1,1))-AVERAGE(OFFSET($H$3,0,0,'Données projet'!$E$17+1,1))</f>
        <v>259.30247982593914</v>
      </c>
      <c r="GF194" s="59">
        <f t="shared" si="158"/>
        <v>275.24740346220779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</v>
      </c>
      <c r="GM194" s="21">
        <f>EXP(-LN(2)/25)*GM193+(1-EXP(-LN(2)/25))/(LN(2)/25)*Calculateur!GH194*Calculateur!GJ194*VLOOKUP('Données projet'!$B$17,Paramètres!$A$1:$I$89,3,0)*0.475*44/12</f>
        <v>0.2076993438131543</v>
      </c>
      <c r="GN194" s="21">
        <f>EXP(-LN(2)/2)*GN193+(1-EXP(-LN(2)/2))/(LN(2)/2)*GH194*GK194*VLOOKUP('Données projet'!$B$17,Paramètres!$A$1:$I$89,3,0)*0.475*44/12</f>
        <v>1.6775350996870984E-23</v>
      </c>
      <c r="GO194" s="21">
        <f t="shared" si="187"/>
        <v>0.2076993438131543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5.6843418860808015E-14</v>
      </c>
      <c r="GV194" s="17">
        <f>GU194*VLOOKUP('Données projet'!$B$18,Paramètres!$A$1:$I$89,3,0)*VLOOKUP('Données projet'!$B$18,Paramètres!$A$1:$I$89,5,0)</f>
        <v>4.5224624045658861E-14</v>
      </c>
      <c r="GW194" s="13">
        <f t="shared" si="188"/>
        <v>7.4514601661523691E-13</v>
      </c>
      <c r="GX194" s="20">
        <f t="shared" si="189"/>
        <v>1.3765621991510601E-12</v>
      </c>
      <c r="GY194" s="59">
        <f t="shared" si="137"/>
        <v>293.33333333333468</v>
      </c>
      <c r="GZ194" s="59">
        <f ca="1">AVERAGE(OFFSET($GY$3,0,0,'Données projet'!$E$18+1,1))-AVERAGE(OFFSET($H$3,0,0,'Données projet'!$E$18+1,1))</f>
        <v>199.58763537752952</v>
      </c>
      <c r="HA194" s="59">
        <f t="shared" si="160"/>
        <v>242.62852778451929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0</v>
      </c>
      <c r="HH194" s="21">
        <f>EXP(-LN(2)/25)*HH193+(1-EXP(-LN(2)/25))/(LN(2)/25)*Calculateur!HC194*Calculateur!HE194*VLOOKUP('Données projet'!$B$18,Paramètres!$A$1:$I$89,3,0)*0.475*44/12</f>
        <v>0.11843652867955141</v>
      </c>
      <c r="HI194" s="21">
        <f>EXP(-LN(2)/2)*HI193+(1-EXP(-LN(2)/2))/(LN(2)/2)*HC194*HF194*VLOOKUP('Données projet'!$B$18,Paramètres!$A$1:$I$89,3,0)*0.475*44/12</f>
        <v>6.2944895315468874E-24</v>
      </c>
      <c r="HJ194" s="22">
        <f t="shared" si="190"/>
        <v>0.11843652867955141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-1.0286385077051818E-13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237.22177246688199</v>
      </c>
      <c r="T195" s="59">
        <f t="shared" si="142"/>
        <v>149.27472147904302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3.4795127675426599E-2</v>
      </c>
      <c r="AB195" s="21">
        <f>EXP(-LN(2)/2)*AB194+(1-EXP(-LN(2)/2))/(LN(2)/2)*V195*Y195*VLOOKUP('Données projet'!$B$9,Paramètres!$A$1:$I$89,3,0)*0.475*44/12</f>
        <v>2.559854274764937E-24</v>
      </c>
      <c r="AC195" s="22">
        <f t="shared" si="163"/>
        <v>3.4795127675426599E-2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-1.1527845344971866E-13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279.20364724206644</v>
      </c>
      <c r="AO195" s="59">
        <f t="shared" si="144"/>
        <v>173.99850582760712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3.8994539636253919E-2</v>
      </c>
      <c r="AW195" s="21">
        <f>EXP(-LN(2)/2)*AW194+(1-EXP(-LN(2)/2))/(LN(2)/2)*AQ195*AT195*VLOOKUP('Données projet'!$B$10,Paramètres!$A$1:$I$89,3,0)*0.475*44/12</f>
        <v>2.8688022044779462E-24</v>
      </c>
      <c r="AX195" s="21">
        <f t="shared" si="166"/>
        <v>3.8994539636253919E-2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-5.3205440053716299E-14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215.23235148064941</v>
      </c>
      <c r="BJ195" s="59">
        <f t="shared" si="146"/>
        <v>184.07239726900434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0.12671870999891574</v>
      </c>
      <c r="BQ195" s="21">
        <f>EXP(-LN(2)/25)*BQ194+(1-EXP(-LN(2)/25))/(LN(2)/25)*Calculateur!BL195*Calculateur!BN195*VLOOKUP('Données projet'!$B$11,Paramètres!$A$1:$I$89,3,0)*0.475*44/12</f>
        <v>8.8003002625076945E-2</v>
      </c>
      <c r="BR195" s="21">
        <f>EXP(-LN(2)/2)*BR194+(1-EXP(-LN(2)/2))/(LN(2)/2)*BL195*BO195*VLOOKUP('Données projet'!$B$11,Paramètres!$A$1:$I$89,3,0)*0.475*44/12</f>
        <v>4.0664928818503551E-24</v>
      </c>
      <c r="BS195" s="22">
        <f t="shared" si="169"/>
        <v>0.2147217126239927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-1.223725121235475E-13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303.1504619632214</v>
      </c>
      <c r="CE195" s="59">
        <f t="shared" si="148"/>
        <v>188.09929616366503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4.139420361386955E-2</v>
      </c>
      <c r="CM195" s="21">
        <f>EXP(-LN(2)/2)*CM194+(1-EXP(-LN(2)/2))/(LN(2)/2)*CG195*CJ195*VLOOKUP('Données projet'!$B$12,Paramètres!$A$1:$I$89,3,0)*0.475*44/12</f>
        <v>3.0453438785996717E-24</v>
      </c>
      <c r="CN195" s="22">
        <f t="shared" si="172"/>
        <v>4.139420361386955E-2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5.6843418860808015E-14</v>
      </c>
      <c r="CU195" s="17">
        <f>CT195*VLOOKUP('Données projet'!$B$13,Paramètres!$A$1:$I$89,3,0)*VLOOKUP('Données projet'!$B$13,Paramètres!$A$1:$I$89,5,0)</f>
        <v>3.813056537183002E-14</v>
      </c>
      <c r="CV195" s="13">
        <f t="shared" si="173"/>
        <v>6.4086286045526829E-13</v>
      </c>
      <c r="CW195" s="20">
        <f t="shared" si="174"/>
        <v>1.1825802166488628E-12</v>
      </c>
      <c r="CX195" s="59">
        <f t="shared" si="122"/>
        <v>293.33333333333451</v>
      </c>
      <c r="CY195" s="59">
        <f ca="1">AVERAGE(OFFSET($CX$3,0,0,'Données projet'!$E$13+1,1))-AVERAGE(OFFSET($H$3,0,0,'Données projet'!$E$13+1,1))</f>
        <v>156.63226020379989</v>
      </c>
      <c r="CZ195" s="59">
        <f t="shared" si="150"/>
        <v>196.0481096619543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9.7127620582424051E-2</v>
      </c>
      <c r="DH195" s="21">
        <f>EXP(-LN(2)/2)*DH194+(1-EXP(-LN(2)/2))/(LN(2)/2)*DB195*DE195*VLOOKUP('Données projet'!$B$13,Paramètres!$A$1:$I$89,3,0)*0.475*44/12</f>
        <v>3.7526995680426469E-24</v>
      </c>
      <c r="DI195" s="22">
        <f t="shared" si="175"/>
        <v>9.7127620582424051E-2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-8.5265128291212022E-14</v>
      </c>
      <c r="DP195" s="17">
        <f>DO195*VLOOKUP('Données projet'!$B$14,Paramètres!$A$1:$I$89,3,0)*VLOOKUP('Données projet'!$B$14,Paramètres!$A$1:$I$89,5,0)</f>
        <v>-7.7147888077888636E-14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225.28075317732998</v>
      </c>
      <c r="DU195" s="59">
        <f t="shared" si="152"/>
        <v>358.43407531256207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9.0696786376266839E-2</v>
      </c>
      <c r="EB195" s="21">
        <f>EXP(-LN(2)/25)*EB194+(1-EXP(-LN(2)/25))/(LN(2)/25)*Calculateur!DW195*Calculateur!DY195*VLOOKUP('Données projet'!$B$14,Paramètres!$A$1:$I$89,3,0)*0.475*44/12</f>
        <v>9.2669992877017091E-2</v>
      </c>
      <c r="EC195" s="21">
        <f>EXP(-LN(2)/2)*EC194+(1-EXP(-LN(2)/2))/(LN(2)/2)*DW195*DZ195*VLOOKUP('Données projet'!$B$14,Paramètres!$A$1:$I$89,3,0)*0.475*44/12</f>
        <v>1.8255963448512444E-24</v>
      </c>
      <c r="ED195" s="22">
        <f t="shared" si="178"/>
        <v>0.18336677925328393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-5.6843418860808015E-13</v>
      </c>
      <c r="EK195" s="17">
        <f>EJ195*VLOOKUP('Données projet'!$B$15,Paramètres!$A$1:$I$89,3,0)*VLOOKUP('Données projet'!$B$15,Paramètres!$A$1:$I$89,5,0)</f>
        <v>-3.177547114319168E-13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326.31232746914907</v>
      </c>
      <c r="EP195" s="59">
        <f t="shared" si="154"/>
        <v>330.17137761430297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0.18466391532158627</v>
      </c>
      <c r="EW195" s="21">
        <f>EXP(-LN(2)/25)*EW194+(1-EXP(-LN(2)/25))/(LN(2)/25)*Calculateur!ER195*Calculateur!ET195*VLOOKUP('Données projet'!$B$15,Paramètres!$A$1:$I$89,3,0)*0.475*44/12</f>
        <v>0.33802076185763175</v>
      </c>
      <c r="EX195" s="21">
        <f>EXP(-LN(2)/2)*EX194+(1-EXP(-LN(2)/2))/(LN(2)/2)*ER195*EU195*VLOOKUP('Données projet'!$B$15,Paramètres!$A$1:$I$89,3,0)*0.475*44/12</f>
        <v>1.345082048988016E-23</v>
      </c>
      <c r="EY195" s="22">
        <f t="shared" si="181"/>
        <v>0.52268467717921796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255.41017495879987</v>
      </c>
      <c r="FK195" s="59">
        <f t="shared" si="156"/>
        <v>297.50513563712764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0.33731421318784438</v>
      </c>
      <c r="FR195" s="21">
        <f>EXP(-LN(2)/25)*FR194+(1-EXP(-LN(2)/25))/(LN(2)/25)*Calculateur!FM195*Calculateur!FO195*VLOOKUP('Données projet'!$B$16,Paramètres!$A$1:$I$89,3,0)*0.475*44/12</f>
        <v>0.31221986768796722</v>
      </c>
      <c r="FS195" s="21">
        <f>EXP(-LN(2)/2)*FS194+(1-EXP(-LN(2)/2))/(LN(2)/2)*FM195*FP195*VLOOKUP('Données projet'!$B$16,Paramètres!$A$1:$I$89,3,0)*0.475*44/12</f>
        <v>1.0092096115827139E-23</v>
      </c>
      <c r="FT195" s="22">
        <f t="shared" si="184"/>
        <v>0.64953408087581166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1.1368683772161603E-13</v>
      </c>
      <c r="GA195" s="17">
        <f>FZ195*VLOOKUP('Données projet'!$B$17,Paramètres!$A$1:$I$89,3,0)*VLOOKUP('Données projet'!$B$17,Paramètres!$A$1:$I$89,5,0)</f>
        <v>6.7984728957526396E-14</v>
      </c>
      <c r="GB195" s="13">
        <f t="shared" si="185"/>
        <v>1.0682447123141398E-12</v>
      </c>
      <c r="GC195" s="20">
        <f t="shared" si="186"/>
        <v>1.978932943548152E-12</v>
      </c>
      <c r="GD195" s="59">
        <f t="shared" si="134"/>
        <v>293.3333333333353</v>
      </c>
      <c r="GE195" s="59">
        <f ca="1">AVERAGE(OFFSET($GD$3,0,0,'Données projet'!$E$17+1,1))-AVERAGE(OFFSET($H$3,0,0,'Données projet'!$E$17+1,1))</f>
        <v>259.30247982593914</v>
      </c>
      <c r="GF195" s="59">
        <f t="shared" si="158"/>
        <v>275.24740346220779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</v>
      </c>
      <c r="GM195" s="21">
        <f>EXP(-LN(2)/25)*GM194+(1-EXP(-LN(2)/25))/(LN(2)/25)*Calculateur!GH195*Calculateur!GJ195*VLOOKUP('Données projet'!$B$17,Paramètres!$A$1:$I$89,3,0)*0.475*44/12</f>
        <v>0.20201979433414982</v>
      </c>
      <c r="GN195" s="21">
        <f>EXP(-LN(2)/2)*GN194+(1-EXP(-LN(2)/2))/(LN(2)/2)*GH195*GK195*VLOOKUP('Données projet'!$B$17,Paramètres!$A$1:$I$89,3,0)*0.475*44/12</f>
        <v>1.1861964446671983E-23</v>
      </c>
      <c r="GO195" s="21">
        <f t="shared" si="187"/>
        <v>0.20201979433414982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5.6843418860808015E-14</v>
      </c>
      <c r="GV195" s="17">
        <f>GU195*VLOOKUP('Données projet'!$B$18,Paramètres!$A$1:$I$89,3,0)*VLOOKUP('Données projet'!$B$18,Paramètres!$A$1:$I$89,5,0)</f>
        <v>4.5224624045658861E-14</v>
      </c>
      <c r="GW195" s="13">
        <f t="shared" si="188"/>
        <v>7.4514601661523691E-13</v>
      </c>
      <c r="GX195" s="20">
        <f t="shared" si="189"/>
        <v>1.3765621991510601E-12</v>
      </c>
      <c r="GY195" s="59">
        <f t="shared" si="137"/>
        <v>293.33333333333468</v>
      </c>
      <c r="GZ195" s="59">
        <f ca="1">AVERAGE(OFFSET($GY$3,0,0,'Données projet'!$E$18+1,1))-AVERAGE(OFFSET($H$3,0,0,'Données projet'!$E$18+1,1))</f>
        <v>199.58763537752952</v>
      </c>
      <c r="HA195" s="59">
        <f t="shared" si="160"/>
        <v>242.62852778451929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0</v>
      </c>
      <c r="HH195" s="21">
        <f>EXP(-LN(2)/25)*HH194+(1-EXP(-LN(2)/25))/(LN(2)/25)*Calculateur!HC195*Calculateur!HE195*VLOOKUP('Données projet'!$B$18,Paramètres!$A$1:$I$89,3,0)*0.475*44/12</f>
        <v>0.11519787557450273</v>
      </c>
      <c r="HI195" s="21">
        <f>EXP(-LN(2)/2)*HI194+(1-EXP(-LN(2)/2))/(LN(2)/2)*HC195*HF195*VLOOKUP('Données projet'!$B$18,Paramètres!$A$1:$I$89,3,0)*0.475*44/12</f>
        <v>4.4508762318645389E-24</v>
      </c>
      <c r="HJ195" s="22">
        <f t="shared" si="190"/>
        <v>0.11519787557450273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-1.0286385077051818E-13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237.22177246688199</v>
      </c>
      <c r="T196" s="59">
        <f t="shared" si="142"/>
        <v>149.27472147904302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3.3843653079345816E-2</v>
      </c>
      <c r="AB196" s="21">
        <f>EXP(-LN(2)/2)*AB195+(1-EXP(-LN(2)/2))/(LN(2)/2)*V196*Y196*VLOOKUP('Données projet'!$B$9,Paramètres!$A$1:$I$89,3,0)*0.475*44/12</f>
        <v>1.8100903165356586E-24</v>
      </c>
      <c r="AC196" s="22">
        <f t="shared" si="163"/>
        <v>3.3843653079345816E-2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-1.1527845344971866E-13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279.20364724206644</v>
      </c>
      <c r="AO196" s="59">
        <f t="shared" si="144"/>
        <v>173.99850582760712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3.7928231899266841E-2</v>
      </c>
      <c r="AW196" s="21">
        <f>EXP(-LN(2)/2)*AW195+(1-EXP(-LN(2)/2))/(LN(2)/2)*AQ196*AT196*VLOOKUP('Données projet'!$B$10,Paramètres!$A$1:$I$89,3,0)*0.475*44/12</f>
        <v>2.0285494926692723E-24</v>
      </c>
      <c r="AX196" s="21">
        <f t="shared" si="166"/>
        <v>3.7928231899266841E-2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-5.3205440053716299E-14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215.23235148064941</v>
      </c>
      <c r="BJ196" s="59">
        <f t="shared" si="146"/>
        <v>184.07239726900434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0.12423383338661827</v>
      </c>
      <c r="BQ196" s="21">
        <f>EXP(-LN(2)/25)*BQ195+(1-EXP(-LN(2)/25))/(LN(2)/25)*Calculateur!BL196*Calculateur!BN196*VLOOKUP('Données projet'!$B$11,Paramètres!$A$1:$I$89,3,0)*0.475*44/12</f>
        <v>8.5596555890417439E-2</v>
      </c>
      <c r="BR196" s="21">
        <f>EXP(-LN(2)/2)*BR195+(1-EXP(-LN(2)/2))/(LN(2)/2)*BL196*BO196*VLOOKUP('Données projet'!$B$11,Paramètres!$A$1:$I$89,3,0)*0.475*44/12</f>
        <v>2.8754446924032122E-24</v>
      </c>
      <c r="BS196" s="22">
        <f t="shared" si="169"/>
        <v>0.20983038927703571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-1.223725121235475E-13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303.1504619632214</v>
      </c>
      <c r="CE196" s="59">
        <f t="shared" si="148"/>
        <v>188.09929616366503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4.0262276939221728E-2</v>
      </c>
      <c r="CM196" s="21">
        <f>EXP(-LN(2)/2)*CM195+(1-EXP(-LN(2)/2))/(LN(2)/2)*CG196*CJ196*VLOOKUP('Données projet'!$B$12,Paramètres!$A$1:$I$89,3,0)*0.475*44/12</f>
        <v>2.15338330760277E-24</v>
      </c>
      <c r="CN196" s="22">
        <f t="shared" si="172"/>
        <v>4.0262276939221728E-2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5.6843418860808015E-14</v>
      </c>
      <c r="CU196" s="17">
        <f>CT196*VLOOKUP('Données projet'!$B$13,Paramètres!$A$1:$I$89,3,0)*VLOOKUP('Données projet'!$B$13,Paramètres!$A$1:$I$89,5,0)</f>
        <v>3.813056537183002E-14</v>
      </c>
      <c r="CV196" s="13">
        <f t="shared" si="173"/>
        <v>6.4086286045526829E-13</v>
      </c>
      <c r="CW196" s="20">
        <f t="shared" si="174"/>
        <v>1.1825802166488628E-12</v>
      </c>
      <c r="CX196" s="59">
        <f t="shared" ref="CX196:CX203" si="196">CW196+(CO196+CP196)*44/12</f>
        <v>293.33333333333451</v>
      </c>
      <c r="CY196" s="59">
        <f ca="1">AVERAGE(OFFSET($CX$3,0,0,'Données projet'!$E$13+1,1))-AVERAGE(OFFSET($H$3,0,0,'Données projet'!$E$13+1,1))</f>
        <v>156.63226020379989</v>
      </c>
      <c r="CZ196" s="59">
        <f t="shared" si="150"/>
        <v>196.0481096619543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9.4471660689878084E-2</v>
      </c>
      <c r="DH196" s="21">
        <f>EXP(-LN(2)/2)*DH195+(1-EXP(-LN(2)/2))/(LN(2)/2)*DB196*DE196*VLOOKUP('Données projet'!$B$13,Paramètres!$A$1:$I$89,3,0)*0.475*44/12</f>
        <v>2.6535593123187833E-24</v>
      </c>
      <c r="DI196" s="22">
        <f t="shared" si="175"/>
        <v>9.4471660689878084E-2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-8.5265128291212022E-14</v>
      </c>
      <c r="DP196" s="17">
        <f>DO196*VLOOKUP('Données projet'!$B$14,Paramètres!$A$1:$I$89,3,0)*VLOOKUP('Données projet'!$B$14,Paramètres!$A$1:$I$89,5,0)</f>
        <v>-7.7147888077888636E-14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225.28075317732998</v>
      </c>
      <c r="DU196" s="59">
        <f t="shared" si="152"/>
        <v>358.43407531256207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8.8918277715005586E-2</v>
      </c>
      <c r="EB196" s="21">
        <f>EXP(-LN(2)/25)*EB195+(1-EXP(-LN(2)/25))/(LN(2)/25)*Calculateur!DW196*Calculateur!DY196*VLOOKUP('Données projet'!$B$14,Paramètres!$A$1:$I$89,3,0)*0.475*44/12</f>
        <v>9.0135927048491937E-2</v>
      </c>
      <c r="EC196" s="21">
        <f>EXP(-LN(2)/2)*EC195+(1-EXP(-LN(2)/2))/(LN(2)/2)*DW196*DZ196*VLOOKUP('Données projet'!$B$14,Paramètres!$A$1:$I$89,3,0)*0.475*44/12</f>
        <v>1.2908915551536898E-24</v>
      </c>
      <c r="ED196" s="22">
        <f t="shared" si="178"/>
        <v>0.17905420476349754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-5.6843418860808015E-13</v>
      </c>
      <c r="EK196" s="17">
        <f>EJ196*VLOOKUP('Données projet'!$B$15,Paramètres!$A$1:$I$89,3,0)*VLOOKUP('Données projet'!$B$15,Paramètres!$A$1:$I$89,5,0)</f>
        <v>-3.177547114319168E-13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326.31232746914907</v>
      </c>
      <c r="EP196" s="59">
        <f t="shared" si="154"/>
        <v>330.17137761430297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0.18104276857599663</v>
      </c>
      <c r="EW196" s="21">
        <f>EXP(-LN(2)/25)*EW195+(1-EXP(-LN(2)/25))/(LN(2)/25)*Calculateur!ER196*Calculateur!ET196*VLOOKUP('Données projet'!$B$15,Paramètres!$A$1:$I$89,3,0)*0.475*44/12</f>
        <v>0.32877756634889549</v>
      </c>
      <c r="EX196" s="21">
        <f>EXP(-LN(2)/2)*EX195+(1-EXP(-LN(2)/2))/(LN(2)/2)*ER196*EU196*VLOOKUP('Données projet'!$B$15,Paramètres!$A$1:$I$89,3,0)*0.475*44/12</f>
        <v>9.5111663809172205E-24</v>
      </c>
      <c r="EY196" s="22">
        <f t="shared" si="181"/>
        <v>0.50982033492489209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255.41017495879987</v>
      </c>
      <c r="FK196" s="59">
        <f t="shared" si="156"/>
        <v>297.50513563712764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0.3306996872085855</v>
      </c>
      <c r="FR196" s="21">
        <f>EXP(-LN(2)/25)*FR195+(1-EXP(-LN(2)/25))/(LN(2)/25)*Calculateur!FM196*Calculateur!FO196*VLOOKUP('Données projet'!$B$16,Paramètres!$A$1:$I$89,3,0)*0.475*44/12</f>
        <v>0.30368219898711052</v>
      </c>
      <c r="FS196" s="21">
        <f>EXP(-LN(2)/2)*FS195+(1-EXP(-LN(2)/2))/(LN(2)/2)*FM196*FP196*VLOOKUP('Données projet'!$B$16,Paramètres!$A$1:$I$89,3,0)*0.475*44/12</f>
        <v>7.1361895998877871E-24</v>
      </c>
      <c r="FT196" s="22">
        <f t="shared" si="184"/>
        <v>0.63438188619569602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1.1368683772161603E-13</v>
      </c>
      <c r="GA196" s="17">
        <f>FZ196*VLOOKUP('Données projet'!$B$17,Paramètres!$A$1:$I$89,3,0)*VLOOKUP('Données projet'!$B$17,Paramètres!$A$1:$I$89,5,0)</f>
        <v>6.7984728957526396E-14</v>
      </c>
      <c r="GB196" s="13">
        <f t="shared" si="185"/>
        <v>1.0682447123141398E-12</v>
      </c>
      <c r="GC196" s="20">
        <f t="shared" si="186"/>
        <v>1.978932943548152E-12</v>
      </c>
      <c r="GD196" s="59">
        <f t="shared" ref="GD196:GD203" si="200">GC196+(FU196+FV196)*44/12</f>
        <v>293.3333333333353</v>
      </c>
      <c r="GE196" s="59">
        <f ca="1">AVERAGE(OFFSET($GD$3,0,0,'Données projet'!$E$17+1,1))-AVERAGE(OFFSET($H$3,0,0,'Données projet'!$E$17+1,1))</f>
        <v>259.30247982593914</v>
      </c>
      <c r="GF196" s="59">
        <f t="shared" si="158"/>
        <v>275.24740346220779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</v>
      </c>
      <c r="GM196" s="21">
        <f>EXP(-LN(2)/25)*GM195+(1-EXP(-LN(2)/25))/(LN(2)/25)*Calculateur!GH196*Calculateur!GJ196*VLOOKUP('Données projet'!$B$17,Paramètres!$A$1:$I$89,3,0)*0.475*44/12</f>
        <v>0.19649555243432323</v>
      </c>
      <c r="GN196" s="21">
        <f>EXP(-LN(2)/2)*GN195+(1-EXP(-LN(2)/2))/(LN(2)/2)*GH196*GK196*VLOOKUP('Données projet'!$B$17,Paramètres!$A$1:$I$89,3,0)*0.475*44/12</f>
        <v>8.387675498435492E-24</v>
      </c>
      <c r="GO196" s="21">
        <f t="shared" si="187"/>
        <v>0.19649555243432323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5.6843418860808015E-14</v>
      </c>
      <c r="GV196" s="17">
        <f>GU196*VLOOKUP('Données projet'!$B$18,Paramètres!$A$1:$I$89,3,0)*VLOOKUP('Données projet'!$B$18,Paramètres!$A$1:$I$89,5,0)</f>
        <v>4.5224624045658861E-14</v>
      </c>
      <c r="GW196" s="13">
        <f t="shared" si="188"/>
        <v>7.4514601661523691E-13</v>
      </c>
      <c r="GX196" s="20">
        <f t="shared" si="189"/>
        <v>1.3765621991510601E-12</v>
      </c>
      <c r="GY196" s="59">
        <f t="shared" ref="GY196:GY203" si="201">GX196+(GP196+GQ196)*44/12</f>
        <v>293.33333333333468</v>
      </c>
      <c r="GZ196" s="59">
        <f ca="1">AVERAGE(OFFSET($GY$3,0,0,'Données projet'!$E$18+1,1))-AVERAGE(OFFSET($H$3,0,0,'Données projet'!$E$18+1,1))</f>
        <v>199.58763537752952</v>
      </c>
      <c r="HA196" s="59">
        <f t="shared" si="160"/>
        <v>242.62852778451929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0</v>
      </c>
      <c r="HH196" s="21">
        <f>EXP(-LN(2)/25)*HH195+(1-EXP(-LN(2)/25))/(LN(2)/25)*Calculateur!HC196*Calculateur!HE196*VLOOKUP('Données projet'!$B$18,Paramètres!$A$1:$I$89,3,0)*0.475*44/12</f>
        <v>0.11204778360892496</v>
      </c>
      <c r="HI196" s="21">
        <f>EXP(-LN(2)/2)*HI195+(1-EXP(-LN(2)/2))/(LN(2)/2)*HC196*HF196*VLOOKUP('Données projet'!$B$18,Paramètres!$A$1:$I$89,3,0)*0.475*44/12</f>
        <v>3.1472447657734437E-24</v>
      </c>
      <c r="HJ196" s="22">
        <f t="shared" si="190"/>
        <v>0.11204778360892496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-1.0286385077051818E-13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237.22177246688199</v>
      </c>
      <c r="T197" s="59">
        <f t="shared" ref="T197:T203" si="204">$T$3</f>
        <v>149.27472147904302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3.291819660613074E-2</v>
      </c>
      <c r="AB197" s="21">
        <f>EXP(-LN(2)/2)*AB196+(1-EXP(-LN(2)/2))/(LN(2)/2)*V197*Y197*VLOOKUP('Données projet'!$B$9,Paramètres!$A$1:$I$89,3,0)*0.475*44/12</f>
        <v>1.2799271373824685E-24</v>
      </c>
      <c r="AC197" s="22">
        <f t="shared" si="163"/>
        <v>3.291819660613074E-2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-1.1527845344971866E-13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279.20364724206644</v>
      </c>
      <c r="AO197" s="59">
        <f t="shared" ref="AO197:AO203" si="205">$AO$3</f>
        <v>173.99850582760712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3.6891082403422357E-2</v>
      </c>
      <c r="AW197" s="21">
        <f>EXP(-LN(2)/2)*AW196+(1-EXP(-LN(2)/2))/(LN(2)/2)*AQ197*AT197*VLOOKUP('Données projet'!$B$10,Paramètres!$A$1:$I$89,3,0)*0.475*44/12</f>
        <v>1.4344011022389731E-24</v>
      </c>
      <c r="AX197" s="21">
        <f t="shared" si="166"/>
        <v>3.6891082403422357E-2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-5.3205440053716299E-14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215.23235148064941</v>
      </c>
      <c r="BJ197" s="59">
        <f t="shared" ref="BJ197:BJ203" si="206">$BJ$3</f>
        <v>184.07239726900434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0.12179768368906288</v>
      </c>
      <c r="BQ197" s="21">
        <f>EXP(-LN(2)/25)*BQ196+(1-EXP(-LN(2)/25))/(LN(2)/25)*Calculateur!BL197*Calculateur!BN197*VLOOKUP('Données projet'!$B$11,Paramètres!$A$1:$I$89,3,0)*0.475*44/12</f>
        <v>8.325591356826674E-2</v>
      </c>
      <c r="BR197" s="21">
        <f>EXP(-LN(2)/2)*BR196+(1-EXP(-LN(2)/2))/(LN(2)/2)*BL197*BO197*VLOOKUP('Données projet'!$B$11,Paramètres!$A$1:$I$89,3,0)*0.475*44/12</f>
        <v>2.0332464409251776E-24</v>
      </c>
      <c r="BS197" s="22">
        <f t="shared" si="169"/>
        <v>0.20505359725732963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-1.223725121235475E-13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303.1504619632214</v>
      </c>
      <c r="CE197" s="59">
        <f t="shared" ref="CE197:CE203" si="207">$CE$3</f>
        <v>188.09929616366503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3.9161302859017588E-2</v>
      </c>
      <c r="CM197" s="21">
        <f>EXP(-LN(2)/2)*CM196+(1-EXP(-LN(2)/2))/(LN(2)/2)*CG197*CJ197*VLOOKUP('Données projet'!$B$12,Paramètres!$A$1:$I$89,3,0)*0.475*44/12</f>
        <v>1.5226719392998359E-24</v>
      </c>
      <c r="CN197" s="22">
        <f t="shared" si="172"/>
        <v>3.9161302859017588E-2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5.6843418860808015E-14</v>
      </c>
      <c r="CU197" s="17">
        <f>CT197*VLOOKUP('Données projet'!$B$13,Paramètres!$A$1:$I$89,3,0)*VLOOKUP('Données projet'!$B$13,Paramètres!$A$1:$I$89,5,0)</f>
        <v>3.813056537183002E-14</v>
      </c>
      <c r="CV197" s="13">
        <f t="shared" si="173"/>
        <v>6.4086286045526829E-13</v>
      </c>
      <c r="CW197" s="20">
        <f t="shared" si="174"/>
        <v>1.1825802166488628E-12</v>
      </c>
      <c r="CX197" s="59">
        <f t="shared" si="196"/>
        <v>293.33333333333451</v>
      </c>
      <c r="CY197" s="59">
        <f ca="1">AVERAGE(OFFSET($CX$3,0,0,'Données projet'!$E$13+1,1))-AVERAGE(OFFSET($H$3,0,0,'Données projet'!$E$13+1,1))</f>
        <v>156.63226020379989</v>
      </c>
      <c r="CZ197" s="59">
        <f t="shared" ref="CZ197:CZ203" si="208">$CZ$3</f>
        <v>196.0481096619543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9.1888328160264654E-2</v>
      </c>
      <c r="DH197" s="21">
        <f>EXP(-LN(2)/2)*DH196+(1-EXP(-LN(2)/2))/(LN(2)/2)*DB197*DE197*VLOOKUP('Données projet'!$B$13,Paramètres!$A$1:$I$89,3,0)*0.475*44/12</f>
        <v>1.8763497840213234E-24</v>
      </c>
      <c r="DI197" s="22">
        <f t="shared" si="175"/>
        <v>9.1888328160264654E-2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-8.5265128291212022E-14</v>
      </c>
      <c r="DP197" s="17">
        <f>DO197*VLOOKUP('Données projet'!$B$14,Paramètres!$A$1:$I$89,3,0)*VLOOKUP('Données projet'!$B$14,Paramètres!$A$1:$I$89,5,0)</f>
        <v>-7.7147888077888636E-14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225.28075317732998</v>
      </c>
      <c r="DU197" s="59">
        <f t="shared" ref="DU197:DU203" si="209">$DU$3</f>
        <v>358.43407531256207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8.7174644523808492E-2</v>
      </c>
      <c r="EB197" s="21">
        <f>EXP(-LN(2)/25)*EB196+(1-EXP(-LN(2)/25))/(LN(2)/25)*Calculateur!DW197*Calculateur!DY197*VLOOKUP('Données projet'!$B$14,Paramètres!$A$1:$I$89,3,0)*0.475*44/12</f>
        <v>8.7671155383308524E-2</v>
      </c>
      <c r="EC197" s="21">
        <f>EXP(-LN(2)/2)*EC196+(1-EXP(-LN(2)/2))/(LN(2)/2)*DW197*DZ197*VLOOKUP('Données projet'!$B$14,Paramètres!$A$1:$I$89,3,0)*0.475*44/12</f>
        <v>9.1279817242562219E-25</v>
      </c>
      <c r="ED197" s="22">
        <f t="shared" si="178"/>
        <v>0.17484579990711702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-5.6843418860808015E-13</v>
      </c>
      <c r="EK197" s="17">
        <f>EJ197*VLOOKUP('Données projet'!$B$15,Paramètres!$A$1:$I$89,3,0)*VLOOKUP('Données projet'!$B$15,Paramètres!$A$1:$I$89,5,0)</f>
        <v>-3.177547114319168E-13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326.31232746914907</v>
      </c>
      <c r="EP197" s="59">
        <f t="shared" ref="EP197:EP203" si="210">$EP$3</f>
        <v>330.17137761430297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0.1774926303094066</v>
      </c>
      <c r="EW197" s="21">
        <f>EXP(-LN(2)/25)*EW196+(1-EXP(-LN(2)/25))/(LN(2)/25)*Calculateur!ER197*Calculateur!ET197*VLOOKUP('Données projet'!$B$15,Paramètres!$A$1:$I$89,3,0)*0.475*44/12</f>
        <v>0.31978712650742414</v>
      </c>
      <c r="EX197" s="21">
        <f>EXP(-LN(2)/2)*EX196+(1-EXP(-LN(2)/2))/(LN(2)/2)*ER197*EU197*VLOOKUP('Données projet'!$B$15,Paramètres!$A$1:$I$89,3,0)*0.475*44/12</f>
        <v>6.7254102449400802E-24</v>
      </c>
      <c r="EY197" s="22">
        <f t="shared" si="181"/>
        <v>0.49727975681683073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255.41017495879987</v>
      </c>
      <c r="FK197" s="59">
        <f t="shared" ref="FK197:FK203" si="211">$FK$3</f>
        <v>297.50513563712764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0.32421486804931743</v>
      </c>
      <c r="FR197" s="21">
        <f>EXP(-LN(2)/25)*FR196+(1-EXP(-LN(2)/25))/(LN(2)/25)*Calculateur!FM197*Calculateur!FO197*VLOOKUP('Données projet'!$B$16,Paramètres!$A$1:$I$89,3,0)*0.475*44/12</f>
        <v>0.29537799328585523</v>
      </c>
      <c r="FS197" s="21">
        <f>EXP(-LN(2)/2)*FS196+(1-EXP(-LN(2)/2))/(LN(2)/2)*FM197*FP197*VLOOKUP('Données projet'!$B$16,Paramètres!$A$1:$I$89,3,0)*0.475*44/12</f>
        <v>5.0460480579135697E-24</v>
      </c>
      <c r="FT197" s="22">
        <f t="shared" si="184"/>
        <v>0.61959286133517266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1.1368683772161603E-13</v>
      </c>
      <c r="GA197" s="17">
        <f>FZ197*VLOOKUP('Données projet'!$B$17,Paramètres!$A$1:$I$89,3,0)*VLOOKUP('Données projet'!$B$17,Paramètres!$A$1:$I$89,5,0)</f>
        <v>6.7984728957526396E-14</v>
      </c>
      <c r="GB197" s="13">
        <f t="shared" si="185"/>
        <v>1.0682447123141398E-12</v>
      </c>
      <c r="GC197" s="20">
        <f t="shared" si="186"/>
        <v>1.978932943548152E-12</v>
      </c>
      <c r="GD197" s="59">
        <f t="shared" si="200"/>
        <v>293.3333333333353</v>
      </c>
      <c r="GE197" s="59">
        <f ca="1">AVERAGE(OFFSET($GD$3,0,0,'Données projet'!$E$17+1,1))-AVERAGE(OFFSET($H$3,0,0,'Données projet'!$E$17+1,1))</f>
        <v>259.30247982593914</v>
      </c>
      <c r="GF197" s="59">
        <f t="shared" ref="GF197:GF203" si="212">$GF$3</f>
        <v>275.24740346220779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</v>
      </c>
      <c r="GM197" s="21">
        <f>EXP(-LN(2)/25)*GM196+(1-EXP(-LN(2)/25))/(LN(2)/25)*Calculateur!GH197*Calculateur!GJ197*VLOOKUP('Données projet'!$B$17,Paramètres!$A$1:$I$89,3,0)*0.475*44/12</f>
        <v>0.19112237121975467</v>
      </c>
      <c r="GN197" s="21">
        <f>EXP(-LN(2)/2)*GN196+(1-EXP(-LN(2)/2))/(LN(2)/2)*GH197*GK197*VLOOKUP('Données projet'!$B$17,Paramètres!$A$1:$I$89,3,0)*0.475*44/12</f>
        <v>5.9309822233359915E-24</v>
      </c>
      <c r="GO197" s="21">
        <f t="shared" si="187"/>
        <v>0.19112237121975467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5.6843418860808015E-14</v>
      </c>
      <c r="GV197" s="17">
        <f>GU197*VLOOKUP('Données projet'!$B$18,Paramètres!$A$1:$I$89,3,0)*VLOOKUP('Données projet'!$B$18,Paramètres!$A$1:$I$89,5,0)</f>
        <v>4.5224624045658861E-14</v>
      </c>
      <c r="GW197" s="13">
        <f t="shared" si="188"/>
        <v>7.4514601661523691E-13</v>
      </c>
      <c r="GX197" s="20">
        <f t="shared" si="189"/>
        <v>1.3765621991510601E-12</v>
      </c>
      <c r="GY197" s="59">
        <f t="shared" si="201"/>
        <v>293.33333333333468</v>
      </c>
      <c r="GZ197" s="59">
        <f ca="1">AVERAGE(OFFSET($GY$3,0,0,'Données projet'!$E$18+1,1))-AVERAGE(OFFSET($H$3,0,0,'Données projet'!$E$18+1,1))</f>
        <v>199.58763537752952</v>
      </c>
      <c r="HA197" s="59">
        <f t="shared" ref="HA197:HA203" si="213">$HA$3</f>
        <v>242.62852778451929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0</v>
      </c>
      <c r="HH197" s="21">
        <f>EXP(-LN(2)/25)*HH196+(1-EXP(-LN(2)/25))/(LN(2)/25)*Calculateur!HC197*Calculateur!HE197*VLOOKUP('Données projet'!$B$18,Paramètres!$A$1:$I$89,3,0)*0.475*44/12</f>
        <v>0.10898383107380206</v>
      </c>
      <c r="HI197" s="21">
        <f>EXP(-LN(2)/2)*HI196+(1-EXP(-LN(2)/2))/(LN(2)/2)*HC197*HF197*VLOOKUP('Données projet'!$B$18,Paramètres!$A$1:$I$89,3,0)*0.475*44/12</f>
        <v>2.2254381159322694E-24</v>
      </c>
      <c r="HJ197" s="22">
        <f t="shared" si="190"/>
        <v>0.10898383107380206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-1.0286385077051818E-13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237.22177246688199</v>
      </c>
      <c r="T198" s="59">
        <f t="shared" si="204"/>
        <v>149.27472147904302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3.2018046788843374E-2</v>
      </c>
      <c r="AB198" s="21">
        <f>EXP(-LN(2)/2)*AB197+(1-EXP(-LN(2)/2))/(LN(2)/2)*V198*Y198*VLOOKUP('Données projet'!$B$9,Paramètres!$A$1:$I$89,3,0)*0.475*44/12</f>
        <v>9.050451582678293E-25</v>
      </c>
      <c r="AC198" s="22">
        <f t="shared" si="163"/>
        <v>3.2018046788843374E-2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-1.1527845344971866E-13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279.20364724206644</v>
      </c>
      <c r="AO198" s="59">
        <f t="shared" si="205"/>
        <v>173.99850582760712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3.5882293815083066E-2</v>
      </c>
      <c r="AW198" s="21">
        <f>EXP(-LN(2)/2)*AW197+(1-EXP(-LN(2)/2))/(LN(2)/2)*AQ198*AT198*VLOOKUP('Données projet'!$B$10,Paramètres!$A$1:$I$89,3,0)*0.475*44/12</f>
        <v>1.0142747463346361E-24</v>
      </c>
      <c r="AX198" s="21">
        <f t="shared" si="166"/>
        <v>3.5882293815083066E-2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-5.3205440053716299E-14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215.23235148064941</v>
      </c>
      <c r="BJ198" s="59">
        <f t="shared" si="206"/>
        <v>184.07239726900434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0.11940930540117195</v>
      </c>
      <c r="BQ198" s="21">
        <f>EXP(-LN(2)/25)*BQ197+(1-EXP(-LN(2)/25))/(LN(2)/25)*Calculateur!BL198*Calculateur!BN198*VLOOKUP('Données projet'!$B$11,Paramètres!$A$1:$I$89,3,0)*0.475*44/12</f>
        <v>8.0979276233504274E-2</v>
      </c>
      <c r="BR198" s="21">
        <f>EXP(-LN(2)/2)*BR197+(1-EXP(-LN(2)/2))/(LN(2)/2)*BL198*BO198*VLOOKUP('Données projet'!$B$11,Paramètres!$A$1:$I$89,3,0)*0.475*44/12</f>
        <v>1.4377223462016061E-24</v>
      </c>
      <c r="BS198" s="22">
        <f t="shared" si="169"/>
        <v>0.20038858163467621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-1.223725121235475E-13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303.1504619632214</v>
      </c>
      <c r="CE198" s="59">
        <f t="shared" si="207"/>
        <v>188.09929616366503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3.8090434972934337E-2</v>
      </c>
      <c r="CM198" s="21">
        <f>EXP(-LN(2)/2)*CM197+(1-EXP(-LN(2)/2))/(LN(2)/2)*CG198*CJ198*VLOOKUP('Données projet'!$B$12,Paramètres!$A$1:$I$89,3,0)*0.475*44/12</f>
        <v>1.076691653801385E-24</v>
      </c>
      <c r="CN198" s="22">
        <f t="shared" si="172"/>
        <v>3.8090434972934337E-2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5.6843418860808015E-14</v>
      </c>
      <c r="CU198" s="17">
        <f>CT198*VLOOKUP('Données projet'!$B$13,Paramètres!$A$1:$I$89,3,0)*VLOOKUP('Données projet'!$B$13,Paramètres!$A$1:$I$89,5,0)</f>
        <v>3.813056537183002E-14</v>
      </c>
      <c r="CV198" s="13">
        <f t="shared" si="173"/>
        <v>6.4086286045526829E-13</v>
      </c>
      <c r="CW198" s="20">
        <f t="shared" si="174"/>
        <v>1.1825802166488628E-12</v>
      </c>
      <c r="CX198" s="59">
        <f t="shared" si="196"/>
        <v>293.33333333333451</v>
      </c>
      <c r="CY198" s="59">
        <f ca="1">AVERAGE(OFFSET($CX$3,0,0,'Données projet'!$E$13+1,1))-AVERAGE(OFFSET($H$3,0,0,'Données projet'!$E$13+1,1))</f>
        <v>156.63226020379989</v>
      </c>
      <c r="CZ198" s="59">
        <f t="shared" si="208"/>
        <v>196.0481096619543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8.9375636994525054E-2</v>
      </c>
      <c r="DH198" s="21">
        <f>EXP(-LN(2)/2)*DH197+(1-EXP(-LN(2)/2))/(LN(2)/2)*DB198*DE198*VLOOKUP('Données projet'!$B$13,Paramètres!$A$1:$I$89,3,0)*0.475*44/12</f>
        <v>1.3267796561593917E-24</v>
      </c>
      <c r="DI198" s="22">
        <f t="shared" si="175"/>
        <v>8.9375636994525054E-2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-8.5265128291212022E-14</v>
      </c>
      <c r="DP198" s="17">
        <f>DO198*VLOOKUP('Données projet'!$B$14,Paramètres!$A$1:$I$89,3,0)*VLOOKUP('Données projet'!$B$14,Paramètres!$A$1:$I$89,5,0)</f>
        <v>-7.7147888077888636E-14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225.28075317732998</v>
      </c>
      <c r="DU198" s="59">
        <f t="shared" si="209"/>
        <v>358.43407531256207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8.5465202915979532E-2</v>
      </c>
      <c r="EB198" s="21">
        <f>EXP(-LN(2)/25)*EB197+(1-EXP(-LN(2)/25))/(LN(2)/25)*Calculateur!DW198*Calculateur!DY198*VLOOKUP('Données projet'!$B$14,Paramètres!$A$1:$I$89,3,0)*0.475*44/12</f>
        <v>8.527378302892627E-2</v>
      </c>
      <c r="EC198" s="21">
        <f>EXP(-LN(2)/2)*EC197+(1-EXP(-LN(2)/2))/(LN(2)/2)*DW198*DZ198*VLOOKUP('Données projet'!$B$14,Paramètres!$A$1:$I$89,3,0)*0.475*44/12</f>
        <v>6.4544577757684491E-25</v>
      </c>
      <c r="ED198" s="22">
        <f t="shared" si="178"/>
        <v>0.1707389859449058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-5.6843418860808015E-13</v>
      </c>
      <c r="EK198" s="17">
        <f>EJ198*VLOOKUP('Données projet'!$B$15,Paramètres!$A$1:$I$89,3,0)*VLOOKUP('Données projet'!$B$15,Paramètres!$A$1:$I$89,5,0)</f>
        <v>-3.177547114319168E-13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326.31232746914907</v>
      </c>
      <c r="EP198" s="59">
        <f t="shared" si="210"/>
        <v>330.17137761430297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0.17401210808885384</v>
      </c>
      <c r="EW198" s="21">
        <f>EXP(-LN(2)/25)*EW197+(1-EXP(-LN(2)/25))/(LN(2)/25)*Calculateur!ER198*Calculateur!ET198*VLOOKUP('Données projet'!$B$15,Paramètres!$A$1:$I$89,3,0)*0.475*44/12</f>
        <v>0.31104253071620452</v>
      </c>
      <c r="EX198" s="21">
        <f>EXP(-LN(2)/2)*EX197+(1-EXP(-LN(2)/2))/(LN(2)/2)*ER198*EU198*VLOOKUP('Données projet'!$B$15,Paramètres!$A$1:$I$89,3,0)*0.475*44/12</f>
        <v>4.7555831904586103E-24</v>
      </c>
      <c r="EY198" s="22">
        <f t="shared" si="181"/>
        <v>0.48505463880505839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255.41017495879987</v>
      </c>
      <c r="FK198" s="59">
        <f t="shared" si="211"/>
        <v>297.50513563712764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0.31785721223841346</v>
      </c>
      <c r="FR198" s="21">
        <f>EXP(-LN(2)/25)*FR197+(1-EXP(-LN(2)/25))/(LN(2)/25)*Calculateur!FM198*Calculateur!FO198*VLOOKUP('Données projet'!$B$16,Paramètres!$A$1:$I$89,3,0)*0.475*44/12</f>
        <v>0.28730086652619996</v>
      </c>
      <c r="FS198" s="21">
        <f>EXP(-LN(2)/2)*FS197+(1-EXP(-LN(2)/2))/(LN(2)/2)*FM198*FP198*VLOOKUP('Données projet'!$B$16,Paramètres!$A$1:$I$89,3,0)*0.475*44/12</f>
        <v>3.5680947999438935E-24</v>
      </c>
      <c r="FT198" s="22">
        <f t="shared" si="184"/>
        <v>0.60515807876461336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1.1368683772161603E-13</v>
      </c>
      <c r="GA198" s="17">
        <f>FZ198*VLOOKUP('Données projet'!$B$17,Paramètres!$A$1:$I$89,3,0)*VLOOKUP('Données projet'!$B$17,Paramètres!$A$1:$I$89,5,0)</f>
        <v>6.7984728957526396E-14</v>
      </c>
      <c r="GB198" s="13">
        <f t="shared" si="185"/>
        <v>1.0682447123141398E-12</v>
      </c>
      <c r="GC198" s="20">
        <f t="shared" si="186"/>
        <v>1.978932943548152E-12</v>
      </c>
      <c r="GD198" s="59">
        <f t="shared" si="200"/>
        <v>293.3333333333353</v>
      </c>
      <c r="GE198" s="59">
        <f ca="1">AVERAGE(OFFSET($GD$3,0,0,'Données projet'!$E$17+1,1))-AVERAGE(OFFSET($H$3,0,0,'Données projet'!$E$17+1,1))</f>
        <v>259.30247982593914</v>
      </c>
      <c r="GF198" s="59">
        <f t="shared" si="212"/>
        <v>275.24740346220779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</v>
      </c>
      <c r="GM198" s="21">
        <f>EXP(-LN(2)/25)*GM197+(1-EXP(-LN(2)/25))/(LN(2)/25)*Calculateur!GH198*Calculateur!GJ198*VLOOKUP('Données projet'!$B$17,Paramètres!$A$1:$I$89,3,0)*0.475*44/12</f>
        <v>0.18589611992806179</v>
      </c>
      <c r="GN198" s="21">
        <f>EXP(-LN(2)/2)*GN197+(1-EXP(-LN(2)/2))/(LN(2)/2)*GH198*GK198*VLOOKUP('Données projet'!$B$17,Paramètres!$A$1:$I$89,3,0)*0.475*44/12</f>
        <v>4.193837749217746E-24</v>
      </c>
      <c r="GO198" s="21">
        <f t="shared" si="187"/>
        <v>0.18589611992806179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5.6843418860808015E-14</v>
      </c>
      <c r="GV198" s="17">
        <f>GU198*VLOOKUP('Données projet'!$B$18,Paramètres!$A$1:$I$89,3,0)*VLOOKUP('Données projet'!$B$18,Paramètres!$A$1:$I$89,5,0)</f>
        <v>4.5224624045658861E-14</v>
      </c>
      <c r="GW198" s="13">
        <f t="shared" si="188"/>
        <v>7.4514601661523691E-13</v>
      </c>
      <c r="GX198" s="20">
        <f t="shared" si="189"/>
        <v>1.3765621991510601E-12</v>
      </c>
      <c r="GY198" s="59">
        <f t="shared" si="201"/>
        <v>293.33333333333468</v>
      </c>
      <c r="GZ198" s="59">
        <f ca="1">AVERAGE(OFFSET($GY$3,0,0,'Données projet'!$E$18+1,1))-AVERAGE(OFFSET($H$3,0,0,'Données projet'!$E$18+1,1))</f>
        <v>199.58763537752952</v>
      </c>
      <c r="HA198" s="59">
        <f t="shared" si="213"/>
        <v>242.62852778451929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0</v>
      </c>
      <c r="HH198" s="21">
        <f>EXP(-LN(2)/25)*HH197+(1-EXP(-LN(2)/25))/(LN(2)/25)*Calculateur!HC198*Calculateur!HE198*VLOOKUP('Données projet'!$B$18,Paramètres!$A$1:$I$89,3,0)*0.475*44/12</f>
        <v>0.10600366248187836</v>
      </c>
      <c r="HI198" s="21">
        <f>EXP(-LN(2)/2)*HI197+(1-EXP(-LN(2)/2))/(LN(2)/2)*HC198*HF198*VLOOKUP('Données projet'!$B$18,Paramètres!$A$1:$I$89,3,0)*0.475*44/12</f>
        <v>1.5736223828867218E-24</v>
      </c>
      <c r="HJ198" s="22">
        <f t="shared" si="190"/>
        <v>0.10600366248187836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-1.0286385077051818E-13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237.22177246688199</v>
      </c>
      <c r="T199" s="59">
        <f t="shared" si="204"/>
        <v>149.27472147904302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3.1142511615646549E-2</v>
      </c>
      <c r="AB199" s="21">
        <f>EXP(-LN(2)/2)*AB198+(1-EXP(-LN(2)/2))/(LN(2)/2)*V199*Y199*VLOOKUP('Données projet'!$B$9,Paramètres!$A$1:$I$89,3,0)*0.475*44/12</f>
        <v>6.3996356869123425E-25</v>
      </c>
      <c r="AC199" s="22">
        <f t="shared" si="163"/>
        <v>3.1142511615646549E-2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-1.1527845344971866E-13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279.20364724206644</v>
      </c>
      <c r="AO199" s="59">
        <f t="shared" si="205"/>
        <v>173.99850582760712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3.4901090603741795E-2</v>
      </c>
      <c r="AW199" s="21">
        <f>EXP(-LN(2)/2)*AW198+(1-EXP(-LN(2)/2))/(LN(2)/2)*AQ199*AT199*VLOOKUP('Données projet'!$B$10,Paramètres!$A$1:$I$89,3,0)*0.475*44/12</f>
        <v>7.1720055111948655E-25</v>
      </c>
      <c r="AX199" s="21">
        <f t="shared" si="166"/>
        <v>3.4901090603741795E-2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-5.3205440053716299E-14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215.23235148064941</v>
      </c>
      <c r="BJ199" s="59">
        <f t="shared" si="206"/>
        <v>184.07239726900434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0.11706776175473965</v>
      </c>
      <c r="BQ199" s="21">
        <f>EXP(-LN(2)/25)*BQ198+(1-EXP(-LN(2)/25))/(LN(2)/25)*Calculateur!BL199*Calculateur!BN199*VLOOKUP('Données projet'!$B$11,Paramètres!$A$1:$I$89,3,0)*0.475*44/12</f>
        <v>7.8764893666384048E-2</v>
      </c>
      <c r="BR199" s="21">
        <f>EXP(-LN(2)/2)*BR198+(1-EXP(-LN(2)/2))/(LN(2)/2)*BL199*BO199*VLOOKUP('Données projet'!$B$11,Paramètres!$A$1:$I$89,3,0)*0.475*44/12</f>
        <v>1.0166232204625888E-24</v>
      </c>
      <c r="BS199" s="22">
        <f t="shared" si="169"/>
        <v>0.19583265542112371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-1.223725121235475E-13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303.1504619632214</v>
      </c>
      <c r="CE199" s="59">
        <f t="shared" si="207"/>
        <v>188.09929616366503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3.7048850025510525E-2</v>
      </c>
      <c r="CM199" s="21">
        <f>EXP(-LN(2)/2)*CM198+(1-EXP(-LN(2)/2))/(LN(2)/2)*CG199*CJ199*VLOOKUP('Données projet'!$B$12,Paramètres!$A$1:$I$89,3,0)*0.475*44/12</f>
        <v>7.6133596964991793E-25</v>
      </c>
      <c r="CN199" s="22">
        <f t="shared" si="172"/>
        <v>3.7048850025510525E-2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5.6843418860808015E-14</v>
      </c>
      <c r="CU199" s="17">
        <f>CT199*VLOOKUP('Données projet'!$B$13,Paramètres!$A$1:$I$89,3,0)*VLOOKUP('Données projet'!$B$13,Paramètres!$A$1:$I$89,5,0)</f>
        <v>3.813056537183002E-14</v>
      </c>
      <c r="CV199" s="13">
        <f t="shared" si="173"/>
        <v>6.4086286045526829E-13</v>
      </c>
      <c r="CW199" s="20">
        <f t="shared" si="174"/>
        <v>1.1825802166488628E-12</v>
      </c>
      <c r="CX199" s="59">
        <f t="shared" si="196"/>
        <v>293.33333333333451</v>
      </c>
      <c r="CY199" s="59">
        <f ca="1">AVERAGE(OFFSET($CX$3,0,0,'Données projet'!$E$13+1,1))-AVERAGE(OFFSET($H$3,0,0,'Données projet'!$E$13+1,1))</f>
        <v>156.63226020379989</v>
      </c>
      <c r="CZ199" s="59">
        <f t="shared" si="208"/>
        <v>196.0481096619543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8.6931655500849289E-2</v>
      </c>
      <c r="DH199" s="21">
        <f>EXP(-LN(2)/2)*DH198+(1-EXP(-LN(2)/2))/(LN(2)/2)*DB199*DE199*VLOOKUP('Données projet'!$B$13,Paramètres!$A$1:$I$89,3,0)*0.475*44/12</f>
        <v>9.3817489201066172E-25</v>
      </c>
      <c r="DI199" s="22">
        <f t="shared" si="175"/>
        <v>8.6931655500849289E-2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-8.5265128291212022E-14</v>
      </c>
      <c r="DP199" s="17">
        <f>DO199*VLOOKUP('Données projet'!$B$14,Paramètres!$A$1:$I$89,3,0)*VLOOKUP('Données projet'!$B$14,Paramètres!$A$1:$I$89,5,0)</f>
        <v>-7.7147888077888636E-14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225.28075317732998</v>
      </c>
      <c r="DU199" s="59">
        <f t="shared" si="209"/>
        <v>358.43407531256207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8.3789282415423674E-2</v>
      </c>
      <c r="EB199" s="21">
        <f>EXP(-LN(2)/25)*EB198+(1-EXP(-LN(2)/25))/(LN(2)/25)*Calculateur!DW199*Calculateur!DY199*VLOOKUP('Données projet'!$B$14,Paramètres!$A$1:$I$89,3,0)*0.475*44/12</f>
        <v>8.2941966947646925E-2</v>
      </c>
      <c r="EC199" s="21">
        <f>EXP(-LN(2)/2)*EC198+(1-EXP(-LN(2)/2))/(LN(2)/2)*DW199*DZ199*VLOOKUP('Données projet'!$B$14,Paramètres!$A$1:$I$89,3,0)*0.475*44/12</f>
        <v>4.563990862128111E-25</v>
      </c>
      <c r="ED199" s="22">
        <f t="shared" si="178"/>
        <v>0.1667312493630706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-5.6843418860808015E-13</v>
      </c>
      <c r="EK199" s="17">
        <f>EJ199*VLOOKUP('Données projet'!$B$15,Paramètres!$A$1:$I$89,3,0)*VLOOKUP('Données projet'!$B$15,Paramètres!$A$1:$I$89,5,0)</f>
        <v>-3.177547114319168E-13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326.31232746914907</v>
      </c>
      <c r="EP199" s="59">
        <f t="shared" si="210"/>
        <v>330.17137761430297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0.17059983678613719</v>
      </c>
      <c r="EW199" s="21">
        <f>EXP(-LN(2)/25)*EW198+(1-EXP(-LN(2)/25))/(LN(2)/25)*Calculateur!ER199*Calculateur!ET199*VLOOKUP('Données projet'!$B$15,Paramètres!$A$1:$I$89,3,0)*0.475*44/12</f>
        <v>0.3025370563567541</v>
      </c>
      <c r="EX199" s="21">
        <f>EXP(-LN(2)/2)*EX198+(1-EXP(-LN(2)/2))/(LN(2)/2)*ER199*EU199*VLOOKUP('Données projet'!$B$15,Paramètres!$A$1:$I$89,3,0)*0.475*44/12</f>
        <v>3.3627051224700401E-24</v>
      </c>
      <c r="EY199" s="22">
        <f t="shared" si="181"/>
        <v>0.47313689314289131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255.41017495879987</v>
      </c>
      <c r="FK199" s="59">
        <f t="shared" si="211"/>
        <v>297.50513563712764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0.31162422618017421</v>
      </c>
      <c r="FR199" s="21">
        <f>EXP(-LN(2)/25)*FR198+(1-EXP(-LN(2)/25))/(LN(2)/25)*Calculateur!FM199*Calculateur!FO199*VLOOKUP('Données projet'!$B$16,Paramètres!$A$1:$I$89,3,0)*0.475*44/12</f>
        <v>0.2794446092225451</v>
      </c>
      <c r="FS199" s="21">
        <f>EXP(-LN(2)/2)*FS198+(1-EXP(-LN(2)/2))/(LN(2)/2)*FM199*FP199*VLOOKUP('Données projet'!$B$16,Paramètres!$A$1:$I$89,3,0)*0.475*44/12</f>
        <v>2.5230240289567848E-24</v>
      </c>
      <c r="FT199" s="22">
        <f t="shared" si="184"/>
        <v>0.59106883540271937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1.1368683772161603E-13</v>
      </c>
      <c r="GA199" s="17">
        <f>FZ199*VLOOKUP('Données projet'!$B$17,Paramètres!$A$1:$I$89,3,0)*VLOOKUP('Données projet'!$B$17,Paramètres!$A$1:$I$89,5,0)</f>
        <v>6.7984728957526396E-14</v>
      </c>
      <c r="GB199" s="13">
        <f t="shared" si="185"/>
        <v>1.0682447123141398E-12</v>
      </c>
      <c r="GC199" s="20">
        <f t="shared" si="186"/>
        <v>1.978932943548152E-12</v>
      </c>
      <c r="GD199" s="59">
        <f t="shared" si="200"/>
        <v>293.3333333333353</v>
      </c>
      <c r="GE199" s="59">
        <f ca="1">AVERAGE(OFFSET($GD$3,0,0,'Données projet'!$E$17+1,1))-AVERAGE(OFFSET($H$3,0,0,'Données projet'!$E$17+1,1))</f>
        <v>259.30247982593914</v>
      </c>
      <c r="GF199" s="59">
        <f t="shared" si="212"/>
        <v>275.24740346220779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</v>
      </c>
      <c r="GM199" s="21">
        <f>EXP(-LN(2)/25)*GM198+(1-EXP(-LN(2)/25))/(LN(2)/25)*Calculateur!GH199*Calculateur!GJ199*VLOOKUP('Données projet'!$B$17,Paramètres!$A$1:$I$89,3,0)*0.475*44/12</f>
        <v>0.18081278075277687</v>
      </c>
      <c r="GN199" s="21">
        <f>EXP(-LN(2)/2)*GN198+(1-EXP(-LN(2)/2))/(LN(2)/2)*GH199*GK199*VLOOKUP('Données projet'!$B$17,Paramètres!$A$1:$I$89,3,0)*0.475*44/12</f>
        <v>2.9654911116679957E-24</v>
      </c>
      <c r="GO199" s="21">
        <f t="shared" si="187"/>
        <v>0.18081278075277687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5.6843418860808015E-14</v>
      </c>
      <c r="GV199" s="17">
        <f>GU199*VLOOKUP('Données projet'!$B$18,Paramètres!$A$1:$I$89,3,0)*VLOOKUP('Données projet'!$B$18,Paramètres!$A$1:$I$89,5,0)</f>
        <v>4.5224624045658861E-14</v>
      </c>
      <c r="GW199" s="13">
        <f t="shared" si="188"/>
        <v>7.4514601661523691E-13</v>
      </c>
      <c r="GX199" s="20">
        <f t="shared" si="189"/>
        <v>1.3765621991510601E-12</v>
      </c>
      <c r="GY199" s="59">
        <f t="shared" si="201"/>
        <v>293.33333333333468</v>
      </c>
      <c r="GZ199" s="59">
        <f ca="1">AVERAGE(OFFSET($GY$3,0,0,'Données projet'!$E$18+1,1))-AVERAGE(OFFSET($H$3,0,0,'Données projet'!$E$18+1,1))</f>
        <v>199.58763537752952</v>
      </c>
      <c r="HA199" s="59">
        <f t="shared" si="213"/>
        <v>242.62852778451929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0</v>
      </c>
      <c r="HH199" s="21">
        <f>EXP(-LN(2)/25)*HH198+(1-EXP(-LN(2)/25))/(LN(2)/25)*Calculateur!HC199*Calculateur!HE199*VLOOKUP('Données projet'!$B$18,Paramètres!$A$1:$I$89,3,0)*0.475*44/12</f>
        <v>0.10310498675682106</v>
      </c>
      <c r="HI199" s="21">
        <f>EXP(-LN(2)/2)*HI198+(1-EXP(-LN(2)/2))/(LN(2)/2)*HC199*HF199*VLOOKUP('Données projet'!$B$18,Paramètres!$A$1:$I$89,3,0)*0.475*44/12</f>
        <v>1.1127190579661347E-24</v>
      </c>
      <c r="HJ199" s="22">
        <f t="shared" si="190"/>
        <v>0.10310498675682106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-1.0286385077051818E-13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237.22177246688199</v>
      </c>
      <c r="T200" s="59">
        <f t="shared" si="204"/>
        <v>149.27472147904302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3.0290917997803184E-2</v>
      </c>
      <c r="AB200" s="21">
        <f>EXP(-LN(2)/2)*AB199+(1-EXP(-LN(2)/2))/(LN(2)/2)*V200*Y200*VLOOKUP('Données projet'!$B$9,Paramètres!$A$1:$I$89,3,0)*0.475*44/12</f>
        <v>4.5252257913391465E-25</v>
      </c>
      <c r="AC200" s="22">
        <f t="shared" si="163"/>
        <v>3.0290917997803184E-2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-1.1527845344971866E-13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279.20364724206644</v>
      </c>
      <c r="AO200" s="59">
        <f t="shared" si="205"/>
        <v>173.99850582760712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3.3946718445813887E-2</v>
      </c>
      <c r="AW200" s="21">
        <f>EXP(-LN(2)/2)*AW199+(1-EXP(-LN(2)/2))/(LN(2)/2)*AQ200*AT200*VLOOKUP('Données projet'!$B$10,Paramètres!$A$1:$I$89,3,0)*0.475*44/12</f>
        <v>5.0713737316731807E-25</v>
      </c>
      <c r="AX200" s="21">
        <f t="shared" si="166"/>
        <v>3.3946718445813887E-2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-5.3205440053716299E-14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215.23235148064941</v>
      </c>
      <c r="BJ200" s="59">
        <f t="shared" si="206"/>
        <v>184.07239726900434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0.11477213435101329</v>
      </c>
      <c r="BQ200" s="21">
        <f>EXP(-LN(2)/25)*BQ199+(1-EXP(-LN(2)/25))/(LN(2)/25)*Calculateur!BL200*Calculateur!BN200*VLOOKUP('Données projet'!$B$11,Paramètres!$A$1:$I$89,3,0)*0.475*44/12</f>
        <v>7.6611063507011037E-2</v>
      </c>
      <c r="BR200" s="21">
        <f>EXP(-LN(2)/2)*BR199+(1-EXP(-LN(2)/2))/(LN(2)/2)*BL200*BO200*VLOOKUP('Données projet'!$B$11,Paramètres!$A$1:$I$89,3,0)*0.475*44/12</f>
        <v>7.1886117310080304E-25</v>
      </c>
      <c r="BS200" s="22">
        <f t="shared" si="169"/>
        <v>0.19138319785802432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-1.223725121235475E-13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303.1504619632214</v>
      </c>
      <c r="CE200" s="59">
        <f t="shared" si="207"/>
        <v>188.09929616366503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3.603574727324859E-2</v>
      </c>
      <c r="CM200" s="21">
        <f>EXP(-LN(2)/2)*CM199+(1-EXP(-LN(2)/2))/(LN(2)/2)*CG200*CJ200*VLOOKUP('Données projet'!$B$12,Paramètres!$A$1:$I$89,3,0)*0.475*44/12</f>
        <v>5.383458269006925E-25</v>
      </c>
      <c r="CN200" s="22">
        <f t="shared" si="172"/>
        <v>3.603574727324859E-2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5.6843418860808015E-14</v>
      </c>
      <c r="CU200" s="17">
        <f>CT200*VLOOKUP('Données projet'!$B$13,Paramètres!$A$1:$I$89,3,0)*VLOOKUP('Données projet'!$B$13,Paramètres!$A$1:$I$89,5,0)</f>
        <v>3.813056537183002E-14</v>
      </c>
      <c r="CV200" s="13">
        <f t="shared" si="173"/>
        <v>6.4086286045526829E-13</v>
      </c>
      <c r="CW200" s="20">
        <f t="shared" si="174"/>
        <v>1.1825802166488628E-12</v>
      </c>
      <c r="CX200" s="59">
        <f t="shared" si="196"/>
        <v>293.33333333333451</v>
      </c>
      <c r="CY200" s="59">
        <f ca="1">AVERAGE(OFFSET($CX$3,0,0,'Données projet'!$E$13+1,1))-AVERAGE(OFFSET($H$3,0,0,'Données projet'!$E$13+1,1))</f>
        <v>156.63226020379989</v>
      </c>
      <c r="CZ200" s="59">
        <f t="shared" si="208"/>
        <v>196.0481096619543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8.4554504809641481E-2</v>
      </c>
      <c r="DH200" s="21">
        <f>EXP(-LN(2)/2)*DH199+(1-EXP(-LN(2)/2))/(LN(2)/2)*DB200*DE200*VLOOKUP('Données projet'!$B$13,Paramètres!$A$1:$I$89,3,0)*0.475*44/12</f>
        <v>6.6338982807969583E-25</v>
      </c>
      <c r="DI200" s="22">
        <f t="shared" si="175"/>
        <v>8.4554504809641481E-2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-8.5265128291212022E-14</v>
      </c>
      <c r="DP200" s="17">
        <f>DO200*VLOOKUP('Données projet'!$B$14,Paramètres!$A$1:$I$89,3,0)*VLOOKUP('Données projet'!$B$14,Paramètres!$A$1:$I$89,5,0)</f>
        <v>-7.7147888077888636E-14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225.28075317732998</v>
      </c>
      <c r="DU200" s="59">
        <f t="shared" si="209"/>
        <v>358.43407531256207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8.214622569367315E-2</v>
      </c>
      <c r="EB200" s="21">
        <f>EXP(-LN(2)/25)*EB199+(1-EXP(-LN(2)/25))/(LN(2)/25)*Calculateur!DW200*Calculateur!DY200*VLOOKUP('Données projet'!$B$14,Paramètres!$A$1:$I$89,3,0)*0.475*44/12</f>
        <v>8.0673914499735044E-2</v>
      </c>
      <c r="EC200" s="21">
        <f>EXP(-LN(2)/2)*EC199+(1-EXP(-LN(2)/2))/(LN(2)/2)*DW200*DZ200*VLOOKUP('Données projet'!$B$14,Paramètres!$A$1:$I$89,3,0)*0.475*44/12</f>
        <v>3.2272288878842245E-25</v>
      </c>
      <c r="ED200" s="22">
        <f t="shared" si="178"/>
        <v>0.16282014019340818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-5.6843418860808015E-13</v>
      </c>
      <c r="EK200" s="17">
        <f>EJ200*VLOOKUP('Données projet'!$B$15,Paramètres!$A$1:$I$89,3,0)*VLOOKUP('Données projet'!$B$15,Paramètres!$A$1:$I$89,5,0)</f>
        <v>-3.177547114319168E-13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326.31232746914907</v>
      </c>
      <c r="EP200" s="59">
        <f t="shared" si="210"/>
        <v>330.17137761430297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0.16725447804238683</v>
      </c>
      <c r="EW200" s="21">
        <f>EXP(-LN(2)/25)*EW199+(1-EXP(-LN(2)/25))/(LN(2)/25)*Calculateur!ER200*Calculateur!ET200*VLOOKUP('Données projet'!$B$15,Paramètres!$A$1:$I$89,3,0)*0.475*44/12</f>
        <v>0.29426416464094635</v>
      </c>
      <c r="EX200" s="21">
        <f>EXP(-LN(2)/2)*EX199+(1-EXP(-LN(2)/2))/(LN(2)/2)*ER200*EU200*VLOOKUP('Données projet'!$B$15,Paramètres!$A$1:$I$89,3,0)*0.475*44/12</f>
        <v>2.3777915952293051E-24</v>
      </c>
      <c r="EY200" s="22">
        <f t="shared" si="181"/>
        <v>0.4615186426833332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255.41017495879987</v>
      </c>
      <c r="FK200" s="59">
        <f t="shared" si="211"/>
        <v>297.50513563712764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0.3055134651767909</v>
      </c>
      <c r="FR200" s="21">
        <f>EXP(-LN(2)/25)*FR199+(1-EXP(-LN(2)/25))/(LN(2)/25)*Calculateur!FM200*Calculateur!FO200*VLOOKUP('Données projet'!$B$16,Paramètres!$A$1:$I$89,3,0)*0.475*44/12</f>
        <v>0.27180318168800127</v>
      </c>
      <c r="FS200" s="21">
        <f>EXP(-LN(2)/2)*FS199+(1-EXP(-LN(2)/2))/(LN(2)/2)*FM200*FP200*VLOOKUP('Données projet'!$B$16,Paramètres!$A$1:$I$89,3,0)*0.475*44/12</f>
        <v>1.7840473999719468E-24</v>
      </c>
      <c r="FT200" s="22">
        <f t="shared" si="184"/>
        <v>0.57731664686479212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1.1368683772161603E-13</v>
      </c>
      <c r="GA200" s="17">
        <f>FZ200*VLOOKUP('Données projet'!$B$17,Paramètres!$A$1:$I$89,3,0)*VLOOKUP('Données projet'!$B$17,Paramètres!$A$1:$I$89,5,0)</f>
        <v>6.7984728957526396E-14</v>
      </c>
      <c r="GB200" s="13">
        <f t="shared" si="185"/>
        <v>1.0682447123141398E-12</v>
      </c>
      <c r="GC200" s="20">
        <f t="shared" si="186"/>
        <v>1.978932943548152E-12</v>
      </c>
      <c r="GD200" s="59">
        <f t="shared" si="200"/>
        <v>293.3333333333353</v>
      </c>
      <c r="GE200" s="59">
        <f ca="1">AVERAGE(OFFSET($GD$3,0,0,'Données projet'!$E$17+1,1))-AVERAGE(OFFSET($H$3,0,0,'Données projet'!$E$17+1,1))</f>
        <v>259.30247982593914</v>
      </c>
      <c r="GF200" s="59">
        <f t="shared" si="212"/>
        <v>275.24740346220779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</v>
      </c>
      <c r="GM200" s="21">
        <f>EXP(-LN(2)/25)*GM199+(1-EXP(-LN(2)/25))/(LN(2)/25)*Calculateur!GH200*Calculateur!GJ200*VLOOKUP('Données projet'!$B$17,Paramètres!$A$1:$I$89,3,0)*0.475*44/12</f>
        <v>0.17586844575456131</v>
      </c>
      <c r="GN200" s="21">
        <f>EXP(-LN(2)/2)*GN199+(1-EXP(-LN(2)/2))/(LN(2)/2)*GH200*GK200*VLOOKUP('Données projet'!$B$17,Paramètres!$A$1:$I$89,3,0)*0.475*44/12</f>
        <v>2.096918874608873E-24</v>
      </c>
      <c r="GO200" s="21">
        <f t="shared" si="187"/>
        <v>0.17586844575456131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5.6843418860808015E-14</v>
      </c>
      <c r="GV200" s="17">
        <f>GU200*VLOOKUP('Données projet'!$B$18,Paramètres!$A$1:$I$89,3,0)*VLOOKUP('Données projet'!$B$18,Paramètres!$A$1:$I$89,5,0)</f>
        <v>4.5224624045658861E-14</v>
      </c>
      <c r="GW200" s="13">
        <f t="shared" si="188"/>
        <v>7.4514601661523691E-13</v>
      </c>
      <c r="GX200" s="20">
        <f t="shared" si="189"/>
        <v>1.3765621991510601E-12</v>
      </c>
      <c r="GY200" s="59">
        <f t="shared" si="201"/>
        <v>293.33333333333468</v>
      </c>
      <c r="GZ200" s="59">
        <f ca="1">AVERAGE(OFFSET($GY$3,0,0,'Données projet'!$E$18+1,1))-AVERAGE(OFFSET($H$3,0,0,'Données projet'!$E$18+1,1))</f>
        <v>199.58763537752952</v>
      </c>
      <c r="HA200" s="59">
        <f t="shared" si="213"/>
        <v>242.62852778451929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0</v>
      </c>
      <c r="HH200" s="21">
        <f>EXP(-LN(2)/25)*HH199+(1-EXP(-LN(2)/25))/(LN(2)/25)*Calculateur!HC200*Calculateur!HE200*VLOOKUP('Données projet'!$B$18,Paramètres!$A$1:$I$89,3,0)*0.475*44/12</f>
        <v>0.10028557547190019</v>
      </c>
      <c r="HI200" s="21">
        <f>EXP(-LN(2)/2)*HI199+(1-EXP(-LN(2)/2))/(LN(2)/2)*HC200*HF200*VLOOKUP('Données projet'!$B$18,Paramètres!$A$1:$I$89,3,0)*0.475*44/12</f>
        <v>7.8681119144336092E-25</v>
      </c>
      <c r="HJ200" s="22">
        <f t="shared" si="190"/>
        <v>0.10028557547190019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-1.0286385077051818E-13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237.22177246688199</v>
      </c>
      <c r="T201" s="59">
        <f t="shared" si="204"/>
        <v>149.27472147904302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2.946261125222311E-2</v>
      </c>
      <c r="AB201" s="21">
        <f>EXP(-LN(2)/2)*AB200+(1-EXP(-LN(2)/2))/(LN(2)/2)*V201*Y201*VLOOKUP('Données projet'!$B$9,Paramètres!$A$1:$I$89,3,0)*0.475*44/12</f>
        <v>3.1998178434561713E-25</v>
      </c>
      <c r="AC201" s="22">
        <f t="shared" si="163"/>
        <v>2.946261125222311E-2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-1.1527845344971866E-13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279.20364724206644</v>
      </c>
      <c r="AO201" s="59">
        <f t="shared" si="205"/>
        <v>173.99850582760712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3.3018443644732769E-2</v>
      </c>
      <c r="AW201" s="21">
        <f>EXP(-LN(2)/2)*AW200+(1-EXP(-LN(2)/2))/(LN(2)/2)*AQ201*AT201*VLOOKUP('Données projet'!$B$10,Paramètres!$A$1:$I$89,3,0)*0.475*44/12</f>
        <v>3.5860027555974328E-25</v>
      </c>
      <c r="AX201" s="21">
        <f t="shared" si="166"/>
        <v>3.3018443644732769E-2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-5.3205440053716299E-14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215.23235148064941</v>
      </c>
      <c r="BJ201" s="59">
        <f t="shared" si="206"/>
        <v>184.07239726900434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0.11252152280047954</v>
      </c>
      <c r="BQ201" s="21">
        <f>EXP(-LN(2)/25)*BQ200+(1-EXP(-LN(2)/25))/(LN(2)/25)*Calculateur!BL201*Calculateur!BN201*VLOOKUP('Données projet'!$B$11,Paramètres!$A$1:$I$89,3,0)*0.475*44/12</f>
        <v>7.4516129946611082E-2</v>
      </c>
      <c r="BR201" s="21">
        <f>EXP(-LN(2)/2)*BR200+(1-EXP(-LN(2)/2))/(LN(2)/2)*BL201*BO201*VLOOKUP('Données projet'!$B$11,Paramètres!$A$1:$I$89,3,0)*0.475*44/12</f>
        <v>5.0831161023129439E-25</v>
      </c>
      <c r="BS201" s="22">
        <f t="shared" si="169"/>
        <v>0.18703765274709061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-1.223725121235475E-13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303.1504619632214</v>
      </c>
      <c r="CE201" s="59">
        <f t="shared" si="207"/>
        <v>188.09929616366503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3.5050347869024022E-2</v>
      </c>
      <c r="CM201" s="21">
        <f>EXP(-LN(2)/2)*CM200+(1-EXP(-LN(2)/2))/(LN(2)/2)*CG201*CJ201*VLOOKUP('Données projet'!$B$12,Paramètres!$A$1:$I$89,3,0)*0.475*44/12</f>
        <v>3.8066798482495897E-25</v>
      </c>
      <c r="CN201" s="22">
        <f t="shared" si="172"/>
        <v>3.5050347869024022E-2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5.6843418860808015E-14</v>
      </c>
      <c r="CU201" s="17">
        <f>CT201*VLOOKUP('Données projet'!$B$13,Paramètres!$A$1:$I$89,3,0)*VLOOKUP('Données projet'!$B$13,Paramètres!$A$1:$I$89,5,0)</f>
        <v>3.813056537183002E-14</v>
      </c>
      <c r="CV201" s="13">
        <f t="shared" si="173"/>
        <v>6.4086286045526829E-13</v>
      </c>
      <c r="CW201" s="20">
        <f t="shared" si="174"/>
        <v>1.1825802166488628E-12</v>
      </c>
      <c r="CX201" s="59">
        <f t="shared" si="196"/>
        <v>293.33333333333451</v>
      </c>
      <c r="CY201" s="59">
        <f ca="1">AVERAGE(OFFSET($CX$3,0,0,'Données projet'!$E$13+1,1))-AVERAGE(OFFSET($H$3,0,0,'Données projet'!$E$13+1,1))</f>
        <v>156.63226020379989</v>
      </c>
      <c r="CZ201" s="59">
        <f t="shared" si="208"/>
        <v>196.0481096619543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8.2242357429093679E-2</v>
      </c>
      <c r="DH201" s="21">
        <f>EXP(-LN(2)/2)*DH200+(1-EXP(-LN(2)/2))/(LN(2)/2)*DB201*DE201*VLOOKUP('Données projet'!$B$13,Paramètres!$A$1:$I$89,3,0)*0.475*44/12</f>
        <v>4.6908744600533086E-25</v>
      </c>
      <c r="DI201" s="22">
        <f t="shared" si="175"/>
        <v>8.2242357429093679E-2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-8.5265128291212022E-14</v>
      </c>
      <c r="DP201" s="17">
        <f>DO201*VLOOKUP('Données projet'!$B$14,Paramètres!$A$1:$I$89,3,0)*VLOOKUP('Données projet'!$B$14,Paramètres!$A$1:$I$89,5,0)</f>
        <v>-7.7147888077888636E-14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225.28075317732998</v>
      </c>
      <c r="DU201" s="59">
        <f t="shared" si="209"/>
        <v>358.43407531256207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8.0535388312070508E-2</v>
      </c>
      <c r="EB201" s="21">
        <f>EXP(-LN(2)/25)*EB200+(1-EXP(-LN(2)/25))/(LN(2)/25)*Calculateur!DW201*Calculateur!DY201*VLOOKUP('Données projet'!$B$14,Paramètres!$A$1:$I$89,3,0)*0.475*44/12</f>
        <v>7.8467882065283004E-2</v>
      </c>
      <c r="EC201" s="21">
        <f>EXP(-LN(2)/2)*EC200+(1-EXP(-LN(2)/2))/(LN(2)/2)*DW201*DZ201*VLOOKUP('Données projet'!$B$14,Paramètres!$A$1:$I$89,3,0)*0.475*44/12</f>
        <v>2.2819954310640555E-25</v>
      </c>
      <c r="ED201" s="22">
        <f t="shared" si="178"/>
        <v>0.15900327037735351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-5.6843418860808015E-13</v>
      </c>
      <c r="EK201" s="17">
        <f>EJ201*VLOOKUP('Données projet'!$B$15,Paramètres!$A$1:$I$89,3,0)*VLOOKUP('Données projet'!$B$15,Paramètres!$A$1:$I$89,5,0)</f>
        <v>-3.177547114319168E-13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326.31232746914907</v>
      </c>
      <c r="EP201" s="59">
        <f t="shared" si="210"/>
        <v>330.17137761430297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0.16397471974313407</v>
      </c>
      <c r="EW201" s="21">
        <f>EXP(-LN(2)/25)*EW200+(1-EXP(-LN(2)/25))/(LN(2)/25)*Calculateur!ER201*Calculateur!ET201*VLOOKUP('Données projet'!$B$15,Paramètres!$A$1:$I$89,3,0)*0.475*44/12</f>
        <v>0.28621749558415982</v>
      </c>
      <c r="EX201" s="21">
        <f>EXP(-LN(2)/2)*EX200+(1-EXP(-LN(2)/2))/(LN(2)/2)*ER201*EU201*VLOOKUP('Données projet'!$B$15,Paramètres!$A$1:$I$89,3,0)*0.475*44/12</f>
        <v>1.6813525612350201E-24</v>
      </c>
      <c r="EY201" s="22">
        <f t="shared" si="181"/>
        <v>0.45019221532729392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255.41017495879987</v>
      </c>
      <c r="FK201" s="59">
        <f t="shared" si="211"/>
        <v>297.50513563712764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0.29952253246948779</v>
      </c>
      <c r="FR201" s="21">
        <f>EXP(-LN(2)/25)*FR200+(1-EXP(-LN(2)/25))/(LN(2)/25)*Calculateur!FM201*Calculateur!FO201*VLOOKUP('Données projet'!$B$16,Paramètres!$A$1:$I$89,3,0)*0.475*44/12</f>
        <v>0.26437070939123475</v>
      </c>
      <c r="FS201" s="21">
        <f>EXP(-LN(2)/2)*FS200+(1-EXP(-LN(2)/2))/(LN(2)/2)*FM201*FP201*VLOOKUP('Données projet'!$B$16,Paramètres!$A$1:$I$89,3,0)*0.475*44/12</f>
        <v>1.2615120144783924E-24</v>
      </c>
      <c r="FT201" s="22">
        <f t="shared" si="184"/>
        <v>0.56389324186072254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1.1368683772161603E-13</v>
      </c>
      <c r="GA201" s="17">
        <f>FZ201*VLOOKUP('Données projet'!$B$17,Paramètres!$A$1:$I$89,3,0)*VLOOKUP('Données projet'!$B$17,Paramètres!$A$1:$I$89,5,0)</f>
        <v>6.7984728957526396E-14</v>
      </c>
      <c r="GB201" s="13">
        <f t="shared" si="185"/>
        <v>1.0682447123141398E-12</v>
      </c>
      <c r="GC201" s="20">
        <f t="shared" si="186"/>
        <v>1.978932943548152E-12</v>
      </c>
      <c r="GD201" s="59">
        <f t="shared" si="200"/>
        <v>293.3333333333353</v>
      </c>
      <c r="GE201" s="59">
        <f ca="1">AVERAGE(OFFSET($GD$3,0,0,'Données projet'!$E$17+1,1))-AVERAGE(OFFSET($H$3,0,0,'Données projet'!$E$17+1,1))</f>
        <v>259.30247982593914</v>
      </c>
      <c r="GF201" s="59">
        <f t="shared" si="212"/>
        <v>275.24740346220779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</v>
      </c>
      <c r="GM201" s="21">
        <f>EXP(-LN(2)/25)*GM200+(1-EXP(-LN(2)/25))/(LN(2)/25)*Calculateur!GH201*Calculateur!GJ201*VLOOKUP('Données projet'!$B$17,Paramètres!$A$1:$I$89,3,0)*0.475*44/12</f>
        <v>0.17105931385688322</v>
      </c>
      <c r="GN201" s="21">
        <f>EXP(-LN(2)/2)*GN200+(1-EXP(-LN(2)/2))/(LN(2)/2)*GH201*GK201*VLOOKUP('Données projet'!$B$17,Paramètres!$A$1:$I$89,3,0)*0.475*44/12</f>
        <v>1.4827455558339979E-24</v>
      </c>
      <c r="GO201" s="21">
        <f t="shared" si="187"/>
        <v>0.17105931385688322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5.6843418860808015E-14</v>
      </c>
      <c r="GV201" s="17">
        <f>GU201*VLOOKUP('Données projet'!$B$18,Paramètres!$A$1:$I$89,3,0)*VLOOKUP('Données projet'!$B$18,Paramètres!$A$1:$I$89,5,0)</f>
        <v>4.5224624045658861E-14</v>
      </c>
      <c r="GW201" s="13">
        <f t="shared" si="188"/>
        <v>7.4514601661523691E-13</v>
      </c>
      <c r="GX201" s="20">
        <f t="shared" si="189"/>
        <v>1.3765621991510601E-12</v>
      </c>
      <c r="GY201" s="59">
        <f t="shared" si="201"/>
        <v>293.33333333333468</v>
      </c>
      <c r="GZ201" s="59">
        <f ca="1">AVERAGE(OFFSET($GY$3,0,0,'Données projet'!$E$18+1,1))-AVERAGE(OFFSET($H$3,0,0,'Données projet'!$E$18+1,1))</f>
        <v>199.58763537752952</v>
      </c>
      <c r="HA201" s="59">
        <f t="shared" si="213"/>
        <v>242.62852778451929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0</v>
      </c>
      <c r="HH201" s="21">
        <f>EXP(-LN(2)/25)*HH200+(1-EXP(-LN(2)/25))/(LN(2)/25)*Calculateur!HC201*Calculateur!HE201*VLOOKUP('Données projet'!$B$18,Paramètres!$A$1:$I$89,3,0)*0.475*44/12</f>
        <v>9.7543261136831871E-2</v>
      </c>
      <c r="HI201" s="21">
        <f>EXP(-LN(2)/2)*HI200+(1-EXP(-LN(2)/2))/(LN(2)/2)*HC201*HF201*VLOOKUP('Données projet'!$B$18,Paramètres!$A$1:$I$89,3,0)*0.475*44/12</f>
        <v>5.5635952898306736E-25</v>
      </c>
      <c r="HJ201" s="22">
        <f t="shared" si="190"/>
        <v>9.7543261136831871E-2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-1.0286385077051818E-13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237.22177246688199</v>
      </c>
      <c r="T202" s="59">
        <f t="shared" si="204"/>
        <v>149.27472147904302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2.865695459815968E-2</v>
      </c>
      <c r="AB202" s="21">
        <f>EXP(-LN(2)/2)*AB201+(1-EXP(-LN(2)/2))/(LN(2)/2)*V202*Y202*VLOOKUP('Données projet'!$B$9,Paramètres!$A$1:$I$89,3,0)*0.475*44/12</f>
        <v>2.2626128956695732E-25</v>
      </c>
      <c r="AC202" s="22">
        <f t="shared" si="163"/>
        <v>2.865695459815968E-2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-1.1527845344971866E-13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279.20364724206644</v>
      </c>
      <c r="AO202" s="59">
        <f t="shared" si="205"/>
        <v>173.99850582760712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3.2115552566903065E-2</v>
      </c>
      <c r="AW202" s="21">
        <f>EXP(-LN(2)/2)*AW201+(1-EXP(-LN(2)/2))/(LN(2)/2)*AQ202*AT202*VLOOKUP('Données projet'!$B$10,Paramètres!$A$1:$I$89,3,0)*0.475*44/12</f>
        <v>2.5356868658365903E-25</v>
      </c>
      <c r="AX202" s="21">
        <f t="shared" si="166"/>
        <v>3.2115552566903065E-2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-5.3205440053716299E-14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215.23235148064941</v>
      </c>
      <c r="BJ202" s="59">
        <f t="shared" si="206"/>
        <v>184.07239726900434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0.11031504436971426</v>
      </c>
      <c r="BQ202" s="21">
        <f>EXP(-LN(2)/25)*BQ201+(1-EXP(-LN(2)/25))/(LN(2)/25)*Calculateur!BL202*Calculateur!BN202*VLOOKUP('Données projet'!$B$11,Paramètres!$A$1:$I$89,3,0)*0.475*44/12</f>
        <v>7.2478482454588031E-2</v>
      </c>
      <c r="BR202" s="21">
        <f>EXP(-LN(2)/2)*BR201+(1-EXP(-LN(2)/2))/(LN(2)/2)*BL202*BO202*VLOOKUP('Données projet'!$B$11,Paramètres!$A$1:$I$89,3,0)*0.475*44/12</f>
        <v>3.5943058655040152E-25</v>
      </c>
      <c r="BS202" s="22">
        <f t="shared" si="169"/>
        <v>0.18279352682430228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-1.223725121235475E-13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303.1504619632214</v>
      </c>
      <c r="CE202" s="59">
        <f t="shared" si="207"/>
        <v>188.09929616366503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3.4091894263327871E-2</v>
      </c>
      <c r="CM202" s="21">
        <f>EXP(-LN(2)/2)*CM201+(1-EXP(-LN(2)/2))/(LN(2)/2)*CG202*CJ202*VLOOKUP('Données projet'!$B$12,Paramètres!$A$1:$I$89,3,0)*0.475*44/12</f>
        <v>2.6917291345034625E-25</v>
      </c>
      <c r="CN202" s="22">
        <f t="shared" si="172"/>
        <v>3.4091894263327871E-2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5.6843418860808015E-14</v>
      </c>
      <c r="CU202" s="17">
        <f>CT202*VLOOKUP('Données projet'!$B$13,Paramètres!$A$1:$I$89,3,0)*VLOOKUP('Données projet'!$B$13,Paramètres!$A$1:$I$89,5,0)</f>
        <v>3.813056537183002E-14</v>
      </c>
      <c r="CV202" s="13">
        <f t="shared" si="173"/>
        <v>6.4086286045526829E-13</v>
      </c>
      <c r="CW202" s="20">
        <f t="shared" si="174"/>
        <v>1.1825802166488628E-12</v>
      </c>
      <c r="CX202" s="59">
        <f t="shared" si="196"/>
        <v>293.33333333333451</v>
      </c>
      <c r="CY202" s="59">
        <f ca="1">AVERAGE(OFFSET($CX$3,0,0,'Données projet'!$E$13+1,1))-AVERAGE(OFFSET($H$3,0,0,'Données projet'!$E$13+1,1))</f>
        <v>156.63226020379989</v>
      </c>
      <c r="CZ202" s="59">
        <f t="shared" si="208"/>
        <v>196.0481096619543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7.9993435840257504E-2</v>
      </c>
      <c r="DH202" s="21">
        <f>EXP(-LN(2)/2)*DH201+(1-EXP(-LN(2)/2))/(LN(2)/2)*DB202*DE202*VLOOKUP('Données projet'!$B$13,Paramètres!$A$1:$I$89,3,0)*0.475*44/12</f>
        <v>3.3169491403984792E-25</v>
      </c>
      <c r="DI202" s="22">
        <f t="shared" si="175"/>
        <v>7.9993435840257504E-2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-8.5265128291212022E-14</v>
      </c>
      <c r="DP202" s="17">
        <f>DO202*VLOOKUP('Données projet'!$B$14,Paramètres!$A$1:$I$89,3,0)*VLOOKUP('Données projet'!$B$14,Paramètres!$A$1:$I$89,5,0)</f>
        <v>-7.7147888077888636E-14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225.28075317732998</v>
      </c>
      <c r="DU202" s="59">
        <f t="shared" si="209"/>
        <v>358.43407531256207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7.89561384690073E-2</v>
      </c>
      <c r="EB202" s="21">
        <f>EXP(-LN(2)/25)*EB201+(1-EXP(-LN(2)/25))/(LN(2)/25)*Calculateur!DW202*Calculateur!DY202*VLOOKUP('Données projet'!$B$14,Paramètres!$A$1:$I$89,3,0)*0.475*44/12</f>
        <v>7.6322173703761265E-2</v>
      </c>
      <c r="EC202" s="21">
        <f>EXP(-LN(2)/2)*EC201+(1-EXP(-LN(2)/2))/(LN(2)/2)*DW202*DZ202*VLOOKUP('Données projet'!$B$14,Paramètres!$A$1:$I$89,3,0)*0.475*44/12</f>
        <v>1.6136144439421123E-25</v>
      </c>
      <c r="ED202" s="22">
        <f t="shared" si="178"/>
        <v>0.15527831217276855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-5.6843418860808015E-13</v>
      </c>
      <c r="EK202" s="17">
        <f>EJ202*VLOOKUP('Données projet'!$B$15,Paramètres!$A$1:$I$89,3,0)*VLOOKUP('Données projet'!$B$15,Paramètres!$A$1:$I$89,5,0)</f>
        <v>-3.177547114319168E-13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326.31232746914907</v>
      </c>
      <c r="EP202" s="59">
        <f t="shared" si="210"/>
        <v>330.17137761430297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0.16075927550367464</v>
      </c>
      <c r="EW202" s="21">
        <f>EXP(-LN(2)/25)*EW201+(1-EXP(-LN(2)/25))/(LN(2)/25)*Calculateur!ER202*Calculateur!ET202*VLOOKUP('Données projet'!$B$15,Paramètres!$A$1:$I$89,3,0)*0.475*44/12</f>
        <v>0.27839086311588701</v>
      </c>
      <c r="EX202" s="21">
        <f>EXP(-LN(2)/2)*EX201+(1-EXP(-LN(2)/2))/(LN(2)/2)*ER202*EU202*VLOOKUP('Données projet'!$B$15,Paramètres!$A$1:$I$89,3,0)*0.475*44/12</f>
        <v>1.1888957976146526E-24</v>
      </c>
      <c r="EY202" s="22">
        <f t="shared" si="181"/>
        <v>0.43915013861956165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255.41017495879987</v>
      </c>
      <c r="FK202" s="59">
        <f t="shared" si="211"/>
        <v>297.50513563712764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0.29364907829846676</v>
      </c>
      <c r="FR202" s="21">
        <f>EXP(-LN(2)/25)*FR201+(1-EXP(-LN(2)/25))/(LN(2)/25)*Calculateur!FM202*Calculateur!FO202*VLOOKUP('Données projet'!$B$16,Paramètres!$A$1:$I$89,3,0)*0.475*44/12</f>
        <v>0.25714147844028007</v>
      </c>
      <c r="FS202" s="21">
        <f>EXP(-LN(2)/2)*FS201+(1-EXP(-LN(2)/2))/(LN(2)/2)*FM202*FP202*VLOOKUP('Données projet'!$B$16,Paramètres!$A$1:$I$89,3,0)*0.475*44/12</f>
        <v>8.9202369998597338E-25</v>
      </c>
      <c r="FT202" s="22">
        <f t="shared" si="184"/>
        <v>0.55079055673874677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1.1368683772161603E-13</v>
      </c>
      <c r="GA202" s="17">
        <f>FZ202*VLOOKUP('Données projet'!$B$17,Paramètres!$A$1:$I$89,3,0)*VLOOKUP('Données projet'!$B$17,Paramètres!$A$1:$I$89,5,0)</f>
        <v>6.7984728957526396E-14</v>
      </c>
      <c r="GB202" s="13">
        <f t="shared" si="185"/>
        <v>1.0682447123141398E-12</v>
      </c>
      <c r="GC202" s="20">
        <f t="shared" si="186"/>
        <v>1.978932943548152E-12</v>
      </c>
      <c r="GD202" s="59">
        <f t="shared" si="200"/>
        <v>293.3333333333353</v>
      </c>
      <c r="GE202" s="59">
        <f ca="1">AVERAGE(OFFSET($GD$3,0,0,'Données projet'!$E$17+1,1))-AVERAGE(OFFSET($H$3,0,0,'Données projet'!$E$17+1,1))</f>
        <v>259.30247982593914</v>
      </c>
      <c r="GF202" s="59">
        <f t="shared" si="212"/>
        <v>275.24740346220779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</v>
      </c>
      <c r="GM202" s="21">
        <f>EXP(-LN(2)/25)*GM201+(1-EXP(-LN(2)/25))/(LN(2)/25)*Calculateur!GH202*Calculateur!GJ202*VLOOKUP('Données projet'!$B$17,Paramètres!$A$1:$I$89,3,0)*0.475*44/12</f>
        <v>0.16638168792384839</v>
      </c>
      <c r="GN202" s="21">
        <f>EXP(-LN(2)/2)*GN201+(1-EXP(-LN(2)/2))/(LN(2)/2)*GH202*GK202*VLOOKUP('Données projet'!$B$17,Paramètres!$A$1:$I$89,3,0)*0.475*44/12</f>
        <v>1.0484594373044365E-24</v>
      </c>
      <c r="GO202" s="21">
        <f t="shared" si="187"/>
        <v>0.16638168792384839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5.6843418860808015E-14</v>
      </c>
      <c r="GV202" s="17">
        <f>GU202*VLOOKUP('Données projet'!$B$18,Paramètres!$A$1:$I$89,3,0)*VLOOKUP('Données projet'!$B$18,Paramètres!$A$1:$I$89,5,0)</f>
        <v>4.5224624045658861E-14</v>
      </c>
      <c r="GW202" s="13">
        <f t="shared" si="188"/>
        <v>7.4514601661523691E-13</v>
      </c>
      <c r="GX202" s="20">
        <f t="shared" si="189"/>
        <v>1.3765621991510601E-12</v>
      </c>
      <c r="GY202" s="59">
        <f t="shared" si="201"/>
        <v>293.33333333333468</v>
      </c>
      <c r="GZ202" s="59">
        <f ca="1">AVERAGE(OFFSET($GY$3,0,0,'Données projet'!$E$18+1,1))-AVERAGE(OFFSET($H$3,0,0,'Données projet'!$E$18+1,1))</f>
        <v>199.58763537752952</v>
      </c>
      <c r="HA202" s="59">
        <f t="shared" si="213"/>
        <v>242.62852778451929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0</v>
      </c>
      <c r="HH202" s="21">
        <f>EXP(-LN(2)/25)*HH201+(1-EXP(-LN(2)/25))/(LN(2)/25)*Calculateur!HC202*Calculateur!HE202*VLOOKUP('Données projet'!$B$18,Paramètres!$A$1:$I$89,3,0)*0.475*44/12</f>
        <v>9.4875935531468045E-2</v>
      </c>
      <c r="HI202" s="21">
        <f>EXP(-LN(2)/2)*HI201+(1-EXP(-LN(2)/2))/(LN(2)/2)*HC202*HF202*VLOOKUP('Données projet'!$B$18,Paramètres!$A$1:$I$89,3,0)*0.475*44/12</f>
        <v>3.9340559572168046E-25</v>
      </c>
      <c r="HJ202" s="22">
        <f t="shared" si="190"/>
        <v>9.4875935531468045E-2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-1.0286385077051818E-13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237.22177246688199</v>
      </c>
      <c r="T203" s="59">
        <f t="shared" si="204"/>
        <v>149.27472147904302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2.7873328667669256E-2</v>
      </c>
      <c r="AB203" s="21">
        <f>EXP(-LN(2)/2)*AB202+(1-EXP(-LN(2)/2))/(LN(2)/2)*V203*Y203*VLOOKUP('Données projet'!$B$9,Paramètres!$A$1:$I$89,3,0)*0.475*44/12</f>
        <v>1.5999089217280856E-25</v>
      </c>
      <c r="AC203" s="22">
        <f t="shared" si="163"/>
        <v>2.7873328667669256E-2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-1.1527845344971866E-13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279.20364724206644</v>
      </c>
      <c r="AO203" s="59">
        <f t="shared" si="205"/>
        <v>173.99850582760712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3.1237351093077591E-2</v>
      </c>
      <c r="AW203" s="21">
        <f>EXP(-LN(2)/2)*AW202+(1-EXP(-LN(2)/2))/(LN(2)/2)*AQ203*AT203*VLOOKUP('Données projet'!$B$10,Paramètres!$A$1:$I$89,3,0)*0.475*44/12</f>
        <v>1.7930013777987164E-25</v>
      </c>
      <c r="AX203" s="21">
        <f t="shared" si="166"/>
        <v>3.1237351093077591E-2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-5.3205440053716299E-14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215.23235148064941</v>
      </c>
      <c r="BJ203" s="59">
        <f t="shared" si="206"/>
        <v>184.07239726900434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0.10815183363515733</v>
      </c>
      <c r="BQ203" s="21">
        <f>EXP(-LN(2)/25)*BQ202+(1-EXP(-LN(2)/25))/(LN(2)/25)*Calculateur!BL203*Calculateur!BN203*VLOOKUP('Données projet'!$B$11,Paramètres!$A$1:$I$89,3,0)*0.475*44/12</f>
        <v>7.0496554540389583E-2</v>
      </c>
      <c r="BR203" s="21">
        <f>EXP(-LN(2)/2)*BR202+(1-EXP(-LN(2)/2))/(LN(2)/2)*BL203*BO203*VLOOKUP('Données projet'!$B$11,Paramètres!$A$1:$I$89,3,0)*0.475*44/12</f>
        <v>2.5415580511564719E-25</v>
      </c>
      <c r="BS203" s="22">
        <f t="shared" si="169"/>
        <v>0.1786483881755469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-1.223725121235475E-13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303.1504619632214</v>
      </c>
      <c r="CE203" s="59">
        <f t="shared" si="207"/>
        <v>188.09929616366503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3.3159649621882371E-2</v>
      </c>
      <c r="CM203" s="21">
        <f>EXP(-LN(2)/2)*CM202+(1-EXP(-LN(2)/2))/(LN(2)/2)*CG203*CJ203*VLOOKUP('Données projet'!$B$12,Paramètres!$A$1:$I$89,3,0)*0.475*44/12</f>
        <v>1.9033399241247948E-25</v>
      </c>
      <c r="CN203" s="22">
        <f t="shared" si="172"/>
        <v>3.3159649621882371E-2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5.6843418860808015E-14</v>
      </c>
      <c r="CU203" s="17">
        <f>CT203*VLOOKUP('Données projet'!$B$13,Paramètres!$A$1:$I$89,3,0)*VLOOKUP('Données projet'!$B$13,Paramètres!$A$1:$I$89,5,0)</f>
        <v>3.813056537183002E-14</v>
      </c>
      <c r="CV203" s="13">
        <f t="shared" si="173"/>
        <v>6.4086286045526829E-13</v>
      </c>
      <c r="CW203" s="20">
        <f t="shared" si="174"/>
        <v>1.1825802166488628E-12</v>
      </c>
      <c r="CX203" s="59">
        <f t="shared" si="196"/>
        <v>293.33333333333451</v>
      </c>
      <c r="CY203" s="59">
        <f ca="1">AVERAGE(OFFSET($CX$3,0,0,'Données projet'!$E$13+1,1))-AVERAGE(OFFSET($H$3,0,0,'Données projet'!$E$13+1,1))</f>
        <v>156.63226020379989</v>
      </c>
      <c r="CZ203" s="59">
        <f t="shared" si="208"/>
        <v>196.0481096619543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7.7806011130533703E-2</v>
      </c>
      <c r="DH203" s="21">
        <f>EXP(-LN(2)/2)*DH202+(1-EXP(-LN(2)/2))/(LN(2)/2)*DB203*DE203*VLOOKUP('Données projet'!$B$13,Paramètres!$A$1:$I$89,3,0)*0.475*44/12</f>
        <v>2.3454372300266543E-25</v>
      </c>
      <c r="DI203" s="22">
        <f t="shared" si="175"/>
        <v>7.7806011130533703E-2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-8.5265128291212022E-14</v>
      </c>
      <c r="DP203" s="17">
        <f>DO203*VLOOKUP('Données projet'!$B$14,Paramètres!$A$1:$I$89,3,0)*VLOOKUP('Données projet'!$B$14,Paramètres!$A$1:$I$89,5,0)</f>
        <v>-7.7147888077888636E-14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225.28075317732998</v>
      </c>
      <c r="DU203" s="59">
        <f t="shared" si="209"/>
        <v>358.43407531256207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7.7407856752119281E-2</v>
      </c>
      <c r="EB203" s="21">
        <f>EXP(-LN(2)/25)*EB202+(1-EXP(-LN(2)/25))/(LN(2)/25)*Calculateur!DW203*Calculateur!DY203*VLOOKUP('Données projet'!$B$14,Paramètres!$A$1:$I$89,3,0)*0.475*44/12</f>
        <v>7.4235139850223231E-2</v>
      </c>
      <c r="EC203" s="21">
        <f>EXP(-LN(2)/2)*EC202+(1-EXP(-LN(2)/2))/(LN(2)/2)*DW203*DZ203*VLOOKUP('Données projet'!$B$14,Paramètres!$A$1:$I$89,3,0)*0.475*44/12</f>
        <v>1.1409977155320277E-25</v>
      </c>
      <c r="ED203" s="22">
        <f t="shared" si="178"/>
        <v>0.15164299660234251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-5.6843418860808015E-13</v>
      </c>
      <c r="EK203" s="17">
        <f>EJ203*VLOOKUP('Données projet'!$B$15,Paramètres!$A$1:$I$89,3,0)*VLOOKUP('Données projet'!$B$15,Paramètres!$A$1:$I$89,5,0)</f>
        <v>-3.177547114319168E-13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326.31232746914907</v>
      </c>
      <c r="EP203" s="59">
        <f t="shared" si="210"/>
        <v>330.17137761430297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0.15760688416452365</v>
      </c>
      <c r="EW203" s="21">
        <f>EXP(-LN(2)/25)*EW202+(1-EXP(-LN(2)/25))/(LN(2)/25)*Calculateur!ER203*Calculateur!ET203*VLOOKUP('Données projet'!$B$15,Paramètres!$A$1:$I$89,3,0)*0.475*44/12</f>
        <v>0.27077825032404385</v>
      </c>
      <c r="EX203" s="21">
        <f>EXP(-LN(2)/2)*EX202+(1-EXP(-LN(2)/2))/(LN(2)/2)*ER203*EU203*VLOOKUP('Données projet'!$B$15,Paramètres!$A$1:$I$89,3,0)*0.475*44/12</f>
        <v>8.4067628061751003E-25</v>
      </c>
      <c r="EY203" s="22">
        <f t="shared" si="181"/>
        <v>0.42838513448856752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255.41017495879987</v>
      </c>
      <c r="FK203" s="59">
        <f t="shared" si="211"/>
        <v>297.50513563712764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0.28789079898128611</v>
      </c>
      <c r="FR203" s="21">
        <f>EXP(-LN(2)/25)*FR202+(1-EXP(-LN(2)/25))/(LN(2)/25)*Calculateur!FM203*Calculateur!FO203*VLOOKUP('Données projet'!$B$16,Paramètres!$A$1:$I$89,3,0)*0.475*44/12</f>
        <v>0.25010993118984798</v>
      </c>
      <c r="FS203" s="21">
        <f>EXP(-LN(2)/2)*FS202+(1-EXP(-LN(2)/2))/(LN(2)/2)*FM203*FP203*VLOOKUP('Données projet'!$B$16,Paramètres!$A$1:$I$89,3,0)*0.475*44/12</f>
        <v>6.3075600723919621E-25</v>
      </c>
      <c r="FT203" s="22">
        <f t="shared" si="184"/>
        <v>0.53800073017113403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1.1368683772161603E-13</v>
      </c>
      <c r="GA203" s="17">
        <f>FZ203*VLOOKUP('Données projet'!$B$17,Paramètres!$A$1:$I$89,3,0)*VLOOKUP('Données projet'!$B$17,Paramètres!$A$1:$I$89,5,0)</f>
        <v>6.7984728957526396E-14</v>
      </c>
      <c r="GB203" s="13">
        <f t="shared" si="185"/>
        <v>1.0682447123141398E-12</v>
      </c>
      <c r="GC203" s="20">
        <f t="shared" si="186"/>
        <v>1.978932943548152E-12</v>
      </c>
      <c r="GD203" s="59">
        <f t="shared" si="200"/>
        <v>293.3333333333353</v>
      </c>
      <c r="GE203" s="59">
        <f ca="1">AVERAGE(OFFSET($GD$3,0,0,'Données projet'!$E$17+1,1))-AVERAGE(OFFSET($H$3,0,0,'Données projet'!$E$17+1,1))</f>
        <v>259.30247982593914</v>
      </c>
      <c r="GF203" s="59">
        <f t="shared" si="212"/>
        <v>275.24740346220779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</v>
      </c>
      <c r="GM203" s="21">
        <f>EXP(-LN(2)/25)*GM202+(1-EXP(-LN(2)/25))/(LN(2)/25)*Calculateur!GH203*Calculateur!GJ203*VLOOKUP('Données projet'!$B$17,Paramètres!$A$1:$I$89,3,0)*0.475*44/12</f>
        <v>0.16183197191793805</v>
      </c>
      <c r="GN203" s="21">
        <f>EXP(-LN(2)/2)*GN202+(1-EXP(-LN(2)/2))/(LN(2)/2)*GH203*GK203*VLOOKUP('Données projet'!$B$17,Paramètres!$A$1:$I$89,3,0)*0.475*44/12</f>
        <v>7.4137277791699894E-25</v>
      </c>
      <c r="GO203" s="21">
        <f t="shared" si="187"/>
        <v>0.16183197191793805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5.6843418860808015E-14</v>
      </c>
      <c r="GV203" s="17">
        <f>GU203*VLOOKUP('Données projet'!$B$18,Paramètres!$A$1:$I$89,3,0)*VLOOKUP('Données projet'!$B$18,Paramètres!$A$1:$I$89,5,0)</f>
        <v>4.5224624045658861E-14</v>
      </c>
      <c r="GW203" s="13">
        <f t="shared" si="188"/>
        <v>7.4514601661523691E-13</v>
      </c>
      <c r="GX203" s="20">
        <f t="shared" si="189"/>
        <v>1.3765621991510601E-12</v>
      </c>
      <c r="GY203" s="59">
        <f t="shared" si="201"/>
        <v>293.33333333333468</v>
      </c>
      <c r="GZ203" s="59">
        <f ca="1">AVERAGE(OFFSET($GY$3,0,0,'Données projet'!$E$18+1,1))-AVERAGE(OFFSET($H$3,0,0,'Données projet'!$E$18+1,1))</f>
        <v>199.58763537752952</v>
      </c>
      <c r="HA203" s="59">
        <f t="shared" si="213"/>
        <v>242.62852778451929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0</v>
      </c>
      <c r="HH203" s="21">
        <f>EXP(-LN(2)/25)*HH202+(1-EXP(-LN(2)/25))/(LN(2)/25)*Calculateur!HC203*Calculateur!HE203*VLOOKUP('Données projet'!$B$18,Paramètres!$A$1:$I$89,3,0)*0.475*44/12</f>
        <v>9.2281548085051443E-2</v>
      </c>
      <c r="HI203" s="21">
        <f>EXP(-LN(2)/2)*HI202+(1-EXP(-LN(2)/2))/(LN(2)/2)*HC203*HF203*VLOOKUP('Données projet'!$B$18,Paramètres!$A$1:$I$89,3,0)*0.475*44/12</f>
        <v>2.7817976449153368E-25</v>
      </c>
      <c r="HJ203" s="22">
        <f t="shared" si="190"/>
        <v>9.2281548085051443E-2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1.2880503926580862</v>
      </c>
      <c r="BV205" s="82">
        <f>EXP(LN('Données projet'!B114)/'Données projet'!A114)</f>
        <v>1.2054868146447177</v>
      </c>
      <c r="CQ205" s="82">
        <f>EXP(LN('Données projet'!B140)/'Données projet'!A140)</f>
        <v>1.2557008269631629</v>
      </c>
      <c r="DL205" s="82">
        <f>EXP(LN('Données projet'!B166)/'Données projet'!A166)</f>
        <v>2.1117857649667542</v>
      </c>
      <c r="EG205" s="82">
        <f>EXP(LN('Données projet'!B192)/'Données projet'!A192)</f>
        <v>1.2820888539868154</v>
      </c>
      <c r="FB205" s="82">
        <f>EXP(LN('Données projet'!B218)/'Données projet'!A218)</f>
        <v>1.2880503926580862</v>
      </c>
      <c r="FW205" s="82">
        <f>EXP(LN('Données projet'!B244)/'Données projet'!A244)</f>
        <v>1.2715047635013723</v>
      </c>
      <c r="GR205" s="82">
        <f>EXP(LN('Données projet'!B270)/'Données projet'!A270)</f>
        <v>1.2557008269631629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4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5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4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6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6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5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4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5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21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5" t="s">
        <v>271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7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1.9210000000000003</v>
      </c>
      <c r="C6" s="147">
        <f ca="1">IF(OR('Données projet'!B9="",'Données projet'!C9="",'Données projet'!C9=0%),0,Calculateur!S3)</f>
        <v>237.22177246688199</v>
      </c>
      <c r="D6" s="147">
        <f>IF(OR('Données projet'!B9="",'Données projet'!C9="",'Données projet'!C9=0%),0,Calculateur!T3)</f>
        <v>149.27472147904302</v>
      </c>
      <c r="E6" s="147">
        <f ca="1">MIN(C6,D6)</f>
        <v>149.27472147904302</v>
      </c>
      <c r="F6" s="147">
        <f ca="1">E6*B6</f>
        <v>286.75673996124169</v>
      </c>
      <c r="G6" s="147">
        <f ca="1">F6*(100%-'Données projet'!$C$24)*(100%-'Données projet'!$C$25)*(100%-'Données projet'!$C$26)*(100%-'Données projet'!$C$27)</f>
        <v>258.08106596511755</v>
      </c>
      <c r="H6" s="148">
        <f>IF(OR('Données projet'!B9="",'Données projet'!C9="",'Données projet'!C9=0%),0,AVERAGE(Calculateur!$AC$3:$AC$33)*B6)</f>
        <v>0.57600788573258455</v>
      </c>
      <c r="I6" s="149">
        <f>H6*(100%-'Données projet'!$C$24)*(100%-'Données projet'!$C$25)*(100%-'Données projet'!$C$26)*(100%-'Données projet'!$C$27)</f>
        <v>0.51840709715932609</v>
      </c>
      <c r="J6" s="150">
        <f>IF(OR('Données projet'!B9="",'Données projet'!C9="",'Données projet'!C9=0%),0,SUM(Calculateur!$V$3:$V$33)*VLOOKUP('Données projet'!$B$9,Paramètres!$A$1:$I$89,9,0)*B6)</f>
        <v>13.927250000000003</v>
      </c>
      <c r="K6" s="151">
        <f>J6*(100%-'Données projet'!$C$24)*(100%-'Données projet'!$C$25)*(100%-'Données projet'!$C$26)*(100%-'Données projet'!$C$27)</f>
        <v>12.534525000000002</v>
      </c>
      <c r="L6" s="152">
        <f ca="1">G6+I6+K6</f>
        <v>271.13399806227687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pubescent</v>
      </c>
      <c r="B7" s="154">
        <f>'Données projet'!D10</f>
        <v>10.757600000000002</v>
      </c>
      <c r="C7" s="147">
        <f ca="1">IF(OR('Données projet'!B10="",'Données projet'!C10="",'Données projet'!C10=0%),0,Calculateur!AN3)</f>
        <v>279.20364724206644</v>
      </c>
      <c r="D7" s="147">
        <f>IF(OR('Données projet'!B10="",'Données projet'!C10="",'Données projet'!C10=0%),0,Calculateur!AO3)</f>
        <v>173.99850582760712</v>
      </c>
      <c r="E7" s="147">
        <f t="shared" ref="E7:E15" ca="1" si="0">MIN(C7,D7)</f>
        <v>173.99850582760712</v>
      </c>
      <c r="F7" s="147">
        <f t="shared" ref="F7:F15" ca="1" si="1">E7*B7</f>
        <v>1871.8063262910666</v>
      </c>
      <c r="G7" s="147">
        <f ca="1">F7*(100%-'Données projet'!$C$24)*(100%-'Données projet'!$C$25)*(100%-'Données projet'!$C$26)*(100%-'Données projet'!$C$27)</f>
        <v>1684.62569366196</v>
      </c>
      <c r="H7" s="155">
        <f>IF(OR('Données projet'!B10="",'Données projet'!C10="",'Données projet'!C10=0%),0,AVERAGE(Calculateur!$AX$3:$AX$33)*B7)</f>
        <v>3.6149460414941514</v>
      </c>
      <c r="I7" s="149">
        <f>H7*(100%-'Données projet'!$C$24)*(100%-'Données projet'!$C$25)*(100%-'Données projet'!$C$26)*(100%-'Données projet'!$C$27)</f>
        <v>3.2534514373447365</v>
      </c>
      <c r="J7" s="150">
        <f>IF(OR('Données projet'!B10="",'Données projet'!C10="",'Données projet'!C10=0%),0,SUM(Calculateur!$AQ$3:$AQ$33)*VLOOKUP('Données projet'!$B$10,Paramètres!$A$1:$I$89,9,0)*B7)</f>
        <v>77.99260000000001</v>
      </c>
      <c r="K7" s="151">
        <f>J7*(100%-'Données projet'!$C$24)*(100%-'Données projet'!$C$25)*(100%-'Données projet'!$C$26)*(100%-'Données projet'!$C$27)</f>
        <v>70.193340000000006</v>
      </c>
      <c r="L7" s="152">
        <f t="shared" ref="L7:L15" ca="1" si="2">G7+I7+K7</f>
        <v>1758.0724850993047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Cèdre de l'Atlas</v>
      </c>
      <c r="B8" s="154">
        <f>'Données projet'!D11</f>
        <v>6.9156000000000004</v>
      </c>
      <c r="C8" s="147">
        <f ca="1">IF(OR('Données projet'!B11="",'Données projet'!C11="",'Données projet'!C11=0%),0,Calculateur!BI3)</f>
        <v>215.23235148064941</v>
      </c>
      <c r="D8" s="147">
        <f>IF(OR('Données projet'!B11="",'Données projet'!C11="",'Données projet'!C11=0%),0,Calculateur!BJ3)</f>
        <v>184.07239726900434</v>
      </c>
      <c r="E8" s="147">
        <f t="shared" ca="1" si="0"/>
        <v>184.07239726900434</v>
      </c>
      <c r="F8" s="147">
        <f t="shared" ca="1" si="1"/>
        <v>1272.9710705535265</v>
      </c>
      <c r="G8" s="147">
        <f ca="1">F8*(100%-'Données projet'!$C$24)*(100%-'Données projet'!$C$25)*(100%-'Données projet'!$C$26)*(100%-'Données projet'!$C$27)</f>
        <v>1145.6739634981739</v>
      </c>
      <c r="H8" s="155">
        <f>IF(OR('Données projet'!B11="",'Données projet'!C11="",'Données projet'!C11=0%),0,AVERAGE(Calculateur!$BS$3:$BS$33)*B8)</f>
        <v>11.287874030131468</v>
      </c>
      <c r="I8" s="149">
        <f>H8*(100%-'Données projet'!$C$24)*(100%-'Données projet'!$C$25)*(100%-'Données projet'!$C$26)*(100%-'Données projet'!$C$27)</f>
        <v>10.15908662711832</v>
      </c>
      <c r="J8" s="150">
        <f>IF(OR('Données projet'!B11="",'Données projet'!C11="",'Données projet'!C11=0%),0,SUM(Calculateur!$BL$3:$BL$33)*VLOOKUP('Données projet'!$B$11,Paramètres!$A$1:$I$89,9,0)*B8)</f>
        <v>173.66454719999999</v>
      </c>
      <c r="K8" s="151">
        <f>J8*(100%-'Données projet'!$C$24)*(100%-'Données projet'!$C$25)*(100%-'Données projet'!$C$26)*(100%-'Données projet'!$C$27)</f>
        <v>156.29809247999998</v>
      </c>
      <c r="L8" s="152">
        <f t="shared" ca="1" si="2"/>
        <v>1312.1311426052921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Cormier</v>
      </c>
      <c r="B9" s="154">
        <f>'Données projet'!D12</f>
        <v>2.6894000000000005</v>
      </c>
      <c r="C9" s="147">
        <f ca="1">IF(OR('Données projet'!B12="",'Données projet'!C12="",'Données projet'!C12=0%),0,Calculateur!CD3)</f>
        <v>303.1504619632214</v>
      </c>
      <c r="D9" s="147">
        <f>IF(OR('Données projet'!B12="",'Données projet'!C12="",'Données projet'!C12=0%),0,Calculateur!CE3)</f>
        <v>188.09929616366503</v>
      </c>
      <c r="E9" s="147">
        <f t="shared" ca="1" si="0"/>
        <v>188.09929616366503</v>
      </c>
      <c r="F9" s="147">
        <f t="shared" ca="1" si="1"/>
        <v>505.87424710256084</v>
      </c>
      <c r="G9" s="147">
        <f ca="1">F9*(100%-'Données projet'!$C$24)*(100%-'Données projet'!$C$25)*(100%-'Données projet'!$C$26)*(100%-'Données projet'!$C$27)</f>
        <v>455.28682239230477</v>
      </c>
      <c r="H9" s="155">
        <f>IF(OR('Données projet'!B12="",'Données projet'!C12="",'Données projet'!C12=0%),0,AVERAGE(Calculateur!$CN$3:$CN$33)*B9)</f>
        <v>0.95935106485806343</v>
      </c>
      <c r="I9" s="149">
        <f>H9*(100%-'Données projet'!$C$24)*(100%-'Données projet'!$C$25)*(100%-'Données projet'!$C$26)*(100%-'Données projet'!$C$27)</f>
        <v>0.86341595837225715</v>
      </c>
      <c r="J9" s="150">
        <f>IF(OR('Données projet'!B12="",'Données projet'!C12="",'Données projet'!C12=0%),0,SUM(Calculateur!$CG$3:$CG$33)*VLOOKUP('Données projet'!$B$12,Paramètres!$A$1:$I$89,9,0)*B9)</f>
        <v>19.498150000000003</v>
      </c>
      <c r="K9" s="151">
        <f>J9*(100%-'Données projet'!$C$24)*(100%-'Données projet'!$C$25)*(100%-'Données projet'!$C$26)*(100%-'Données projet'!$C$27)</f>
        <v>17.548335000000002</v>
      </c>
      <c r="L9" s="152">
        <f t="shared" ca="1" si="2"/>
        <v>473.69857335067701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Tilleul</v>
      </c>
      <c r="B10" s="154">
        <f>'Données projet'!D13</f>
        <v>3.0736000000000003</v>
      </c>
      <c r="C10" s="147">
        <f ca="1">IF(OR('Données projet'!B13="",'Données projet'!C13="",'Données projet'!C13=0%),0,Calculateur!CY3)</f>
        <v>156.63226020379989</v>
      </c>
      <c r="D10" s="147">
        <f>IF(OR('Données projet'!B13="",'Données projet'!C13="",'Données projet'!C13=0%),0,Calculateur!CZ3)</f>
        <v>196.0481096619543</v>
      </c>
      <c r="E10" s="147">
        <f t="shared" ca="1" si="0"/>
        <v>156.63226020379989</v>
      </c>
      <c r="F10" s="147">
        <f t="shared" ca="1" si="1"/>
        <v>481.42491496239938</v>
      </c>
      <c r="G10" s="147">
        <f ca="1">F10*(100%-'Données projet'!$C$24)*(100%-'Données projet'!$C$25)*(100%-'Données projet'!$C$26)*(100%-'Données projet'!$C$27)</f>
        <v>433.28242346615946</v>
      </c>
      <c r="H10" s="155">
        <f>IF(OR('Données projet'!B13="",'Données projet'!C13="",'Données projet'!C13=0%),0,AVERAGE(Calculateur!$DI$3:$DI$33)*B10)</f>
        <v>7.6852321861155612</v>
      </c>
      <c r="I10" s="149">
        <f>H10*(100%-'Données projet'!$C$24)*(100%-'Données projet'!$C$25)*(100%-'Données projet'!$C$26)*(100%-'Données projet'!$C$27)</f>
        <v>6.9167089675040057</v>
      </c>
      <c r="J10" s="150">
        <f>IF(OR('Données projet'!B13="",'Données projet'!C13="",'Données projet'!C13=0%),0,SUM(Calculateur!$DB$3:$DB$33)*VLOOKUP('Données projet'!$B$13,Paramètres!$A$1:$I$89,9,0)*B10)</f>
        <v>76.071600000000004</v>
      </c>
      <c r="K10" s="151">
        <f>J10*(100%-'Données projet'!$C$24)*(100%-'Données projet'!$C$25)*(100%-'Données projet'!$C$26)*(100%-'Données projet'!$C$27)</f>
        <v>68.46444000000001</v>
      </c>
      <c r="L10" s="152">
        <f t="shared" ca="1" si="2"/>
        <v>508.66357243366349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Robinier faux-acacia</v>
      </c>
      <c r="B11" s="154">
        <f>'Données projet'!D14</f>
        <v>1.5368000000000002</v>
      </c>
      <c r="C11" s="147">
        <f ca="1">IF(OR('Données projet'!B14="",'Données projet'!C14="",'Données projet'!C14=0%),0,Calculateur!DT3)</f>
        <v>225.28075317732998</v>
      </c>
      <c r="D11" s="147">
        <f>IF(OR('Données projet'!B14="",'Données projet'!C14="",'Données projet'!C14=0%),0,Calculateur!DU3)</f>
        <v>358.43407531256207</v>
      </c>
      <c r="E11" s="147">
        <f t="shared" ca="1" si="0"/>
        <v>225.28075317732998</v>
      </c>
      <c r="F11" s="147">
        <f t="shared" ca="1" si="1"/>
        <v>346.21146148292075</v>
      </c>
      <c r="G11" s="147">
        <f ca="1">F11*(100%-'Données projet'!$C$24)*(100%-'Données projet'!$C$25)*(100%-'Données projet'!$C$26)*(100%-'Données projet'!$C$27)</f>
        <v>311.59031533462871</v>
      </c>
      <c r="H11" s="155">
        <f>IF(OR('Données projet'!B14="",'Données projet'!C14="",'Données projet'!C14=0%),0,AVERAGE(Calculateur!$ED$3:$ED$33)*B11)</f>
        <v>12.202746350086366</v>
      </c>
      <c r="I11" s="149">
        <f>H11*(100%-'Données projet'!$C$24)*(100%-'Données projet'!$C$25)*(100%-'Données projet'!$C$26)*(100%-'Données projet'!$C$27)</f>
        <v>10.982471715077731</v>
      </c>
      <c r="J11" s="150">
        <f>IF(OR('Données projet'!B14="",'Données projet'!C14="",'Données projet'!C14=0%),0,SUM(Calculateur!$DW$3:$DW$33)*VLOOKUP('Données projet'!$B$14,Paramètres!$A$1:$I$89,9,0)*B11)</f>
        <v>48.793400000000005</v>
      </c>
      <c r="K11" s="151">
        <f>J11*(100%-'Données projet'!$C$24)*(100%-'Données projet'!$C$25)*(100%-'Données projet'!$C$26)*(100%-'Données projet'!$C$27)</f>
        <v>43.914060000000006</v>
      </c>
      <c r="L11" s="152">
        <f t="shared" ca="1" si="2"/>
        <v>366.48684704970645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Douglas</v>
      </c>
      <c r="B12" s="154">
        <f>'Données projet'!D15</f>
        <v>1.9210000000000003</v>
      </c>
      <c r="C12" s="147">
        <f ca="1">IF(OR('Données projet'!B15="",'Données projet'!C15="",'Données projet'!C15=0%),0,Calculateur!EO3)</f>
        <v>326.31232746914907</v>
      </c>
      <c r="D12" s="147">
        <f>IF(OR('Données projet'!B15="",'Données projet'!C15="",'Données projet'!C15=0%),0,Calculateur!EP3)</f>
        <v>330.17137761430297</v>
      </c>
      <c r="E12" s="147">
        <f t="shared" ca="1" si="0"/>
        <v>326.31232746914907</v>
      </c>
      <c r="F12" s="147">
        <f t="shared" ca="1" si="1"/>
        <v>626.84598106823546</v>
      </c>
      <c r="G12" s="147">
        <f ca="1">F12*(100%-'Données projet'!$C$24)*(100%-'Données projet'!$C$25)*(100%-'Données projet'!$C$26)*(100%-'Données projet'!$C$27)</f>
        <v>564.16138296141196</v>
      </c>
      <c r="H12" s="155">
        <f>IF(OR('Données projet'!B15="",'Données projet'!C15="",'Données projet'!C15=0%),0,AVERAGE(Calculateur!$EY$3:$EY$33)*B12)</f>
        <v>15.276326128772123</v>
      </c>
      <c r="I12" s="149">
        <f>H12*(100%-'Données projet'!$C$24)*(100%-'Données projet'!$C$25)*(100%-'Données projet'!$C$26)*(100%-'Données projet'!$C$27)</f>
        <v>13.74869351589491</v>
      </c>
      <c r="J12" s="150">
        <f>IF(OR('Données projet'!B15="",'Données projet'!C15="",'Données projet'!C15=0%),0,SUM(Calculateur!$ER$3:$ER$33)*VLOOKUP('Données projet'!$B$15,Paramètres!$A$1:$I$89,9,0)*B12)</f>
        <v>144.55525000000003</v>
      </c>
      <c r="K12" s="151">
        <f>J12*(100%-'Données projet'!$C$24)*(100%-'Données projet'!$C$25)*(100%-'Données projet'!$C$26)*(100%-'Données projet'!$C$27)</f>
        <v>130.09972500000003</v>
      </c>
      <c r="L12" s="152">
        <f t="shared" ca="1" si="2"/>
        <v>708.00980147730695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Mélèze d'Europe</v>
      </c>
      <c r="B13" s="154">
        <f>'Données projet'!D16</f>
        <v>4.2262000000000004</v>
      </c>
      <c r="C13" s="147">
        <f ca="1">IF(OR('Données projet'!B16="",'Données projet'!C16="",'Données projet'!C16=0%),0,Calculateur!FJ3)</f>
        <v>255.41017495879987</v>
      </c>
      <c r="D13" s="147">
        <f>IF(OR('Données projet'!B16="",'Données projet'!C16="",'Données projet'!C16=0%),0,Calculateur!FK3)</f>
        <v>297.50513563712764</v>
      </c>
      <c r="E13" s="147">
        <f t="shared" ca="1" si="0"/>
        <v>255.41017495879987</v>
      </c>
      <c r="F13" s="147">
        <f t="shared" ca="1" si="1"/>
        <v>1079.4144814108802</v>
      </c>
      <c r="G13" s="147">
        <f ca="1">F13*(100%-'Données projet'!$C$24)*(100%-'Données projet'!$C$25)*(100%-'Données projet'!$C$26)*(100%-'Données projet'!$C$27)</f>
        <v>971.47303326979215</v>
      </c>
      <c r="H13" s="155">
        <f>IF(OR('Données projet'!B16="",'Données projet'!C16="",'Données projet'!C16=0%),0,AVERAGE(Calculateur!$FT$3:$FT$33)*B13)</f>
        <v>35.737244955425631</v>
      </c>
      <c r="I13" s="149">
        <f>H13*(100%-'Données projet'!$C$24)*(100%-'Données projet'!$C$25)*(100%-'Données projet'!$C$26)*(100%-'Données projet'!$C$27)</f>
        <v>32.163520459883067</v>
      </c>
      <c r="J13" s="150">
        <f>IF(OR('Données projet'!C16="",'Données projet'!C16=0%),0,SUM(Calculateur!$FM$3:$FM$33)*VLOOKUP('Données projet'!$B$16,Paramètres!$A$1:$I$89,9,0)*B13)</f>
        <v>261.68630400000001</v>
      </c>
      <c r="K13" s="151">
        <f>J13*(100%-'Données projet'!$C$24)*(100%-'Données projet'!$C$25)*(100%-'Données projet'!$C$26)*(100%-'Données projet'!$C$27)</f>
        <v>235.51767360000002</v>
      </c>
      <c r="L13" s="152">
        <f t="shared" ca="1" si="2"/>
        <v>1239.1542273296752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Pin laricio</v>
      </c>
      <c r="B14" s="154">
        <f>'Données projet'!D17</f>
        <v>1.1526000000000001</v>
      </c>
      <c r="C14" s="147">
        <f ca="1">IF(OR('Données projet'!B17="",'Données projet'!C17="",'Données projet'!C17=0%),0,Calculateur!GE3)</f>
        <v>259.30247982593914</v>
      </c>
      <c r="D14" s="147">
        <f>IF(OR('Données projet'!B17="",'Données projet'!C17="",'Données projet'!C17=0%),0,Calculateur!GF3)</f>
        <v>275.24740346220779</v>
      </c>
      <c r="E14" s="147">
        <f t="shared" ca="1" si="0"/>
        <v>259.30247982593914</v>
      </c>
      <c r="F14" s="147">
        <f t="shared" ca="1" si="1"/>
        <v>298.87203824737747</v>
      </c>
      <c r="G14" s="147">
        <f ca="1">F14*(100%-'Données projet'!$C$24)*(100%-'Données projet'!$C$25)*(100%-'Données projet'!$C$26)*(100%-'Données projet'!$C$27)</f>
        <v>268.98483442263972</v>
      </c>
      <c r="H14" s="155">
        <f>IF(OR('Données projet'!B17="",'Données projet'!C17="",'Données projet'!C17=0%),0,AVERAGE(Calculateur!$GO$3:$GO$33)*B14)</f>
        <v>4.0406473836644805</v>
      </c>
      <c r="I14" s="149">
        <f>H14*(100%-'Données projet'!$C$24)*(100%-'Données projet'!$C$25)*(100%-'Données projet'!$C$26)*(100%-'Données projet'!$C$27)</f>
        <v>3.6365826452980325</v>
      </c>
      <c r="J14" s="150">
        <f>IF(OR('Données projet'!B17="",'Données projet'!C17="",'Données projet'!C17=0%),0,SUM(Calculateur!$GH$3:$GH$33)*VLOOKUP('Données projet'!$B$17,Paramètres!$A$1:$I$89,9,0)*B14)</f>
        <v>53.031126</v>
      </c>
      <c r="K14" s="151">
        <f>J14*(100%-'Données projet'!$C$24)*(100%-'Données projet'!$C$25)*(100%-'Données projet'!$C$26)*(100%-'Données projet'!$C$27)</f>
        <v>47.728013400000002</v>
      </c>
      <c r="L14" s="152">
        <f t="shared" ca="1" si="2"/>
        <v>320.34943046793774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>Erable sycomore</v>
      </c>
      <c r="B15" s="157">
        <f>'Données projet'!D18</f>
        <v>4.2262000000000004</v>
      </c>
      <c r="C15" s="158">
        <f ca="1">IF(OR('Données projet'!B18="",'Données projet'!C18="",'Données projet'!C18=0%),0,Calculateur!GZ3)</f>
        <v>199.58763537752952</v>
      </c>
      <c r="D15" s="158">
        <f>IF(OR('Données projet'!B18="",'Données projet'!C18="",'Données projet'!C18=0%),0,Calculateur!HA3)</f>
        <v>242.62852778451929</v>
      </c>
      <c r="E15" s="158">
        <f t="shared" ca="1" si="0"/>
        <v>199.58763537752952</v>
      </c>
      <c r="F15" s="159">
        <f t="shared" ca="1" si="1"/>
        <v>843.49726463251534</v>
      </c>
      <c r="G15" s="159">
        <f ca="1">F15*(100%-'Données projet'!$C$24)*(100%-'Données projet'!$C$25)*(100%-'Données projet'!$C$26)*(100%-'Données projet'!$C$27)</f>
        <v>759.14753816926384</v>
      </c>
      <c r="H15" s="160">
        <f>IF(OR('Données projet'!B18="",'Données projet'!C18="",'Données projet'!C18=0%),0,AVERAGE(Calculateur!$HJ$3:$HJ$33)*B15)</f>
        <v>12.533183884915205</v>
      </c>
      <c r="I15" s="161">
        <f>H15*(100%-'Données projet'!$C$24)*(100%-'Données projet'!$C$25)*(100%-'Données projet'!$C$26)*(100%-'Données projet'!$C$27)</f>
        <v>11.279865496423685</v>
      </c>
      <c r="J15" s="162">
        <f>IF(OR('Données projet'!B18="",'Données projet'!C18="",'Données projet'!C18=0%),0,SUM(Calculateur!$HC$3:$HC$33)*VLOOKUP('Données projet'!$B$18,Paramètres!$A$1:$I$89,9,0)*B15)</f>
        <v>104.59845000000001</v>
      </c>
      <c r="K15" s="163">
        <f>J15*(100%-'Données projet'!$C$24)*(100%-'Données projet'!$C$25)*(100%-'Données projet'!$C$26)*(100%-'Données projet'!$C$27)</f>
        <v>94.138605000000013</v>
      </c>
      <c r="L15" s="164">
        <f t="shared" ca="1" si="2"/>
        <v>864.56600866568749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7613.6745257127232</v>
      </c>
      <c r="G16" s="166">
        <f t="shared" ca="1" si="3"/>
        <v>6852.30707314145</v>
      </c>
      <c r="H16" s="167">
        <f t="shared" si="3"/>
        <v>103.91355991119562</v>
      </c>
      <c r="I16" s="167">
        <f t="shared" si="3"/>
        <v>93.52220392007608</v>
      </c>
      <c r="J16" s="168">
        <f t="shared" si="3"/>
        <v>973.81867720000014</v>
      </c>
      <c r="K16" s="168">
        <f t="shared" si="3"/>
        <v>876.43680948000008</v>
      </c>
      <c r="L16" s="169">
        <f t="shared" ca="1" si="3"/>
        <v>7822.2660865415282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7" t="s">
        <v>246</v>
      </c>
      <c r="G17" s="288"/>
      <c r="H17" s="288"/>
      <c r="I17" s="288"/>
      <c r="J17" s="288"/>
      <c r="K17" s="288"/>
      <c r="L17" s="288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4"/>
      <c r="G18" s="274"/>
      <c r="H18" s="274"/>
      <c r="I18" s="274"/>
      <c r="J18" s="274"/>
      <c r="K18" s="274"/>
      <c r="L18" s="274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Cormier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Tilleul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Robinier faux-acacia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Douglas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Mélèze d'Europe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Pin laricio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>Erable sycomore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P1" zoomScale="80" zoomScaleNormal="80" workbookViewId="0">
      <selection activeCell="E19" sqref="E19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5" t="s">
        <v>272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1" t="s">
        <v>315</v>
      </c>
      <c r="I4" s="261"/>
      <c r="K4" s="303" t="s">
        <v>253</v>
      </c>
      <c r="L4" s="304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-929.10319892612199</v>
      </c>
      <c r="U10" s="178">
        <f>'Données projet'!D9</f>
        <v>1.9210000000000003</v>
      </c>
      <c r="V10" s="177">
        <f>U10*T10</f>
        <v>-1784.8072451370806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-1000.3792043225591</v>
      </c>
      <c r="U11" s="178">
        <f>'Données projet'!D10</f>
        <v>10.757600000000002</v>
      </c>
      <c r="V11" s="177">
        <f t="shared" ref="V11" si="0">U11*T11</f>
        <v>-10761.679328420363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-332.48035551867076</v>
      </c>
      <c r="U12" s="178">
        <f>'Données projet'!D11</f>
        <v>6.9156000000000004</v>
      </c>
      <c r="V12" s="177">
        <f t="shared" ref="V12:V19" si="1">U12*T12</f>
        <v>-2299.3011466249195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Cormier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-1708.1431989261223</v>
      </c>
      <c r="U13" s="178">
        <f>'Données projet'!D12</f>
        <v>2.6894000000000005</v>
      </c>
      <c r="V13" s="177">
        <f t="shared" si="1"/>
        <v>-4593.8803191919142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Tilleul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137.03766389668425</v>
      </c>
      <c r="U14" s="178">
        <f>'Données projet'!D13</f>
        <v>3.0736000000000003</v>
      </c>
      <c r="V14" s="177">
        <f t="shared" si="1"/>
        <v>421.19896375284878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6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Robinier faux-acacia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3652.3772438229644</v>
      </c>
      <c r="U15" s="178">
        <f>'Données projet'!D14</f>
        <v>1.5368000000000002</v>
      </c>
      <c r="V15" s="177">
        <f t="shared" si="1"/>
        <v>5612.9733483071323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6"/>
      <c r="H16" s="190"/>
      <c r="I16" s="191"/>
      <c r="J16" s="202"/>
      <c r="K16" s="208"/>
      <c r="L16" s="303" t="s">
        <v>254</v>
      </c>
      <c r="M16" s="304"/>
      <c r="N16" s="2">
        <v>80</v>
      </c>
      <c r="O16" s="23"/>
      <c r="P16" s="23"/>
      <c r="Q16" s="234"/>
      <c r="R16" s="23"/>
      <c r="S16" s="36" t="str">
        <f>B200</f>
        <v>Douglas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3082.4283322905344</v>
      </c>
      <c r="U16" s="178">
        <f>'Données projet'!D15</f>
        <v>1.9210000000000003</v>
      </c>
      <c r="V16" s="177">
        <f t="shared" si="1"/>
        <v>5921.344826330117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1752.84</v>
      </c>
      <c r="F17" s="230"/>
      <c r="G17" s="306"/>
      <c r="J17" s="202"/>
      <c r="K17" s="208"/>
      <c r="L17" s="263" t="s">
        <v>289</v>
      </c>
      <c r="M17" s="265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>Mélèze d'Europe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949.09716353869987</v>
      </c>
      <c r="U17" s="178">
        <f>'Données projet'!D16</f>
        <v>4.2262000000000004</v>
      </c>
      <c r="V17" s="177">
        <f t="shared" si="1"/>
        <v>4011.0744325472538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6"/>
      <c r="J18" s="202"/>
      <c r="K18" s="208"/>
      <c r="L18" s="263" t="s">
        <v>255</v>
      </c>
      <c r="M18" s="265"/>
      <c r="N18" s="192">
        <v>30</v>
      </c>
      <c r="O18" s="23"/>
      <c r="P18" s="23"/>
      <c r="Q18" s="234"/>
      <c r="R18" s="23"/>
      <c r="S18" s="36" t="str">
        <f>B262</f>
        <v>Pin laricio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1240.8199798192059</v>
      </c>
      <c r="U18" s="178">
        <f>'Données projet'!D17</f>
        <v>1.1526000000000001</v>
      </c>
      <c r="V18" s="177">
        <f t="shared" si="1"/>
        <v>1430.1691087396168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6"/>
      <c r="H19" s="212" t="s">
        <v>178</v>
      </c>
      <c r="I19" s="212" t="s">
        <v>287</v>
      </c>
      <c r="J19" s="93"/>
      <c r="K19" s="173"/>
      <c r="L19" s="303" t="s">
        <v>288</v>
      </c>
      <c r="M19" s="304"/>
      <c r="N19" s="179">
        <f>N17*N18</f>
        <v>2400.0000000000036</v>
      </c>
      <c r="O19" s="23"/>
      <c r="P19" s="4"/>
      <c r="Q19" s="235"/>
      <c r="R19" s="4"/>
      <c r="S19" s="36" t="str">
        <f>B293</f>
        <v>Erable sycomore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76.037646528840867</v>
      </c>
      <c r="U19" s="178">
        <f>'Données projet'!D18</f>
        <v>4.2262000000000004</v>
      </c>
      <c r="V19" s="177">
        <f t="shared" si="1"/>
        <v>321.35030176018728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6"/>
      <c r="H20" s="190">
        <v>0</v>
      </c>
      <c r="I20" s="191">
        <f>802.23+806.2</f>
        <v>1608.43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0</v>
      </c>
      <c r="C23" s="193">
        <v>8</v>
      </c>
      <c r="D23" s="182">
        <f>B23*C23</f>
        <v>0</v>
      </c>
      <c r="E23" s="193"/>
      <c r="F23" s="230"/>
      <c r="H23" s="190">
        <v>3</v>
      </c>
      <c r="I23" s="191">
        <v>900</v>
      </c>
      <c r="K23" s="208"/>
      <c r="L23" s="305" t="s">
        <v>260</v>
      </c>
      <c r="M23" s="305"/>
      <c r="N23" s="305"/>
      <c r="O23" s="23"/>
      <c r="P23" s="23"/>
      <c r="Q23" s="234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-125091.60786036933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29</v>
      </c>
      <c r="C24" s="193">
        <v>12</v>
      </c>
      <c r="D24" s="182">
        <f t="shared" ref="D24:D42" si="2">B24*C24</f>
        <v>348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2725.6203711771541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42</v>
      </c>
      <c r="C25" s="193">
        <v>15</v>
      </c>
      <c r="D25" s="182">
        <f t="shared" si="2"/>
        <v>630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2">
        <f ca="1">T23-T24</f>
        <v>-127817.22823154648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42</v>
      </c>
      <c r="C26" s="193">
        <v>20</v>
      </c>
      <c r="D26" s="182">
        <f t="shared" si="2"/>
        <v>840</v>
      </c>
      <c r="E26" s="193"/>
      <c r="F26" s="233"/>
      <c r="G26" s="229"/>
      <c r="H26" s="190"/>
      <c r="I26" s="191"/>
      <c r="K26" s="208"/>
      <c r="L26" s="289" t="s">
        <v>258</v>
      </c>
      <c r="M26" s="290"/>
      <c r="N26" s="290"/>
      <c r="O26" s="290"/>
      <c r="P26" s="291"/>
      <c r="Q26" s="234"/>
      <c r="R26" s="23"/>
      <c r="S26" s="186" t="s">
        <v>265</v>
      </c>
      <c r="T26" s="299" t="str">
        <f ca="1">IF(T25&lt;0,"Votre projet est additionnel","Votre projet n'est pas additionnel")</f>
        <v>Votre projet est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42</v>
      </c>
      <c r="C27" s="193">
        <v>25</v>
      </c>
      <c r="D27" s="182">
        <f t="shared" si="2"/>
        <v>1050</v>
      </c>
      <c r="E27" s="193"/>
      <c r="F27" s="233"/>
      <c r="G27" s="229"/>
      <c r="H27" s="190"/>
      <c r="I27" s="191"/>
      <c r="K27" s="208"/>
      <c r="L27" s="292"/>
      <c r="M27" s="293"/>
      <c r="N27" s="293"/>
      <c r="O27" s="293"/>
      <c r="P27" s="294"/>
      <c r="Q27" s="234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42</v>
      </c>
      <c r="C28" s="193">
        <v>30</v>
      </c>
      <c r="D28" s="182">
        <f t="shared" si="2"/>
        <v>1260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42</v>
      </c>
      <c r="C29" s="193">
        <v>35</v>
      </c>
      <c r="D29" s="182">
        <f t="shared" si="2"/>
        <v>1470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42</v>
      </c>
      <c r="C30" s="193">
        <v>40</v>
      </c>
      <c r="D30" s="182">
        <f t="shared" si="2"/>
        <v>1680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42</v>
      </c>
      <c r="C31" s="193">
        <v>50</v>
      </c>
      <c r="D31" s="182">
        <f t="shared" si="2"/>
        <v>2100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110</v>
      </c>
      <c r="B32" s="181">
        <f>'Données projet'!D45</f>
        <v>39</v>
      </c>
      <c r="C32" s="193">
        <v>60</v>
      </c>
      <c r="D32" s="182">
        <f t="shared" si="2"/>
        <v>2340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120</v>
      </c>
      <c r="B33" s="181">
        <f>'Données projet'!D46</f>
        <v>303</v>
      </c>
      <c r="C33" s="193">
        <v>180</v>
      </c>
      <c r="D33" s="182">
        <f t="shared" si="2"/>
        <v>54540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1731.2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0</v>
      </c>
      <c r="C54" s="191">
        <v>8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29</v>
      </c>
      <c r="C55" s="191">
        <v>12</v>
      </c>
      <c r="D55" s="179">
        <f t="shared" ref="D55:D73" si="4">B55*C55</f>
        <v>348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42</v>
      </c>
      <c r="C56" s="191">
        <v>15</v>
      </c>
      <c r="D56" s="179">
        <f t="shared" si="4"/>
        <v>630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42</v>
      </c>
      <c r="C57" s="191">
        <v>20</v>
      </c>
      <c r="D57" s="179">
        <f t="shared" si="4"/>
        <v>840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42</v>
      </c>
      <c r="C58" s="191">
        <v>25</v>
      </c>
      <c r="D58" s="179">
        <f t="shared" si="4"/>
        <v>1050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42</v>
      </c>
      <c r="C59" s="191">
        <v>30</v>
      </c>
      <c r="D59" s="179">
        <f t="shared" si="4"/>
        <v>1260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42</v>
      </c>
      <c r="C60" s="191">
        <v>35</v>
      </c>
      <c r="D60" s="179">
        <f t="shared" si="4"/>
        <v>1470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42</v>
      </c>
      <c r="C61" s="191">
        <v>40</v>
      </c>
      <c r="D61" s="179">
        <f t="shared" si="4"/>
        <v>1680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42</v>
      </c>
      <c r="C62" s="191">
        <v>50</v>
      </c>
      <c r="D62" s="179">
        <f t="shared" si="4"/>
        <v>2100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39</v>
      </c>
      <c r="C63" s="191">
        <v>60</v>
      </c>
      <c r="D63" s="179">
        <f t="shared" si="4"/>
        <v>2340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303</v>
      </c>
      <c r="C64" s="191">
        <v>180</v>
      </c>
      <c r="D64" s="179">
        <f t="shared" si="4"/>
        <v>54540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str">
        <f>IF(O68+1&lt;=MIN('Données projet'!$E$9:$E$18),O68+1,"STOP")</f>
        <v>STOP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2380.4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12.5</v>
      </c>
      <c r="C85" s="191">
        <v>8</v>
      </c>
      <c r="D85" s="179">
        <f>B85*C85</f>
        <v>100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45.9</v>
      </c>
      <c r="C86" s="191">
        <v>8</v>
      </c>
      <c r="D86" s="179">
        <f t="shared" ref="D86:D104" si="6">B86*C86</f>
        <v>367.2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83.4</v>
      </c>
      <c r="C87" s="191">
        <v>15</v>
      </c>
      <c r="D87" s="179">
        <f t="shared" si="6"/>
        <v>1251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83.4</v>
      </c>
      <c r="C88" s="191">
        <v>25</v>
      </c>
      <c r="D88" s="179">
        <f t="shared" si="6"/>
        <v>2085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83.4</v>
      </c>
      <c r="C89" s="191">
        <v>30</v>
      </c>
      <c r="D89" s="179">
        <f t="shared" si="6"/>
        <v>2502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83.4</v>
      </c>
      <c r="C90" s="191">
        <v>50</v>
      </c>
      <c r="D90" s="179">
        <f t="shared" si="6"/>
        <v>4170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83.4</v>
      </c>
      <c r="C91" s="191">
        <v>50</v>
      </c>
      <c r="D91" s="179">
        <f t="shared" si="6"/>
        <v>4170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83.4</v>
      </c>
      <c r="C92" s="191">
        <v>50</v>
      </c>
      <c r="D92" s="179">
        <f t="shared" si="6"/>
        <v>4170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726.2</v>
      </c>
      <c r="C93" s="191">
        <v>100</v>
      </c>
      <c r="D93" s="179">
        <f t="shared" si="6"/>
        <v>72620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Cormier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2531.88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0</v>
      </c>
      <c r="C116" s="191">
        <v>8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29</v>
      </c>
      <c r="C117" s="191">
        <v>12</v>
      </c>
      <c r="D117" s="179">
        <f t="shared" ref="D117:D135" si="8">B117*C117</f>
        <v>348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42</v>
      </c>
      <c r="C118" s="191">
        <v>15</v>
      </c>
      <c r="D118" s="179">
        <f t="shared" si="8"/>
        <v>630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42</v>
      </c>
      <c r="C119" s="191">
        <v>20</v>
      </c>
      <c r="D119" s="179">
        <f t="shared" si="8"/>
        <v>840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42</v>
      </c>
      <c r="C120" s="191">
        <v>25</v>
      </c>
      <c r="D120" s="179">
        <f t="shared" si="8"/>
        <v>1050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42</v>
      </c>
      <c r="C121" s="191">
        <v>30</v>
      </c>
      <c r="D121" s="179">
        <f t="shared" si="8"/>
        <v>1260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42</v>
      </c>
      <c r="C122" s="191">
        <v>35</v>
      </c>
      <c r="D122" s="179">
        <f t="shared" si="8"/>
        <v>1470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90</v>
      </c>
      <c r="B123" s="181">
        <f>'Données projet'!D121</f>
        <v>42</v>
      </c>
      <c r="C123" s="191">
        <v>40</v>
      </c>
      <c r="D123" s="179">
        <f t="shared" si="8"/>
        <v>1680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100</v>
      </c>
      <c r="B124" s="181">
        <f>'Données projet'!D122</f>
        <v>42</v>
      </c>
      <c r="C124" s="191">
        <v>50</v>
      </c>
      <c r="D124" s="179">
        <f t="shared" si="8"/>
        <v>2100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110</v>
      </c>
      <c r="B125" s="181">
        <f>'Données projet'!D123</f>
        <v>39</v>
      </c>
      <c r="C125" s="191">
        <v>60</v>
      </c>
      <c r="D125" s="179">
        <f t="shared" si="8"/>
        <v>2340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120</v>
      </c>
      <c r="B126" s="181">
        <f>'Données projet'!D124</f>
        <v>303</v>
      </c>
      <c r="C126" s="191">
        <v>180</v>
      </c>
      <c r="D126" s="179">
        <f t="shared" si="8"/>
        <v>54540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Tilleul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1536.44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5">
        <f>'Données projet'!D140</f>
        <v>43</v>
      </c>
      <c r="C147" s="191">
        <v>10</v>
      </c>
      <c r="D147" s="182">
        <f>B147*C147</f>
        <v>430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30</v>
      </c>
      <c r="B148" s="175">
        <f>'Données projet'!D141</f>
        <v>56</v>
      </c>
      <c r="C148" s="191">
        <v>20</v>
      </c>
      <c r="D148" s="182">
        <f t="shared" ref="D148:D166" si="10">B148*C148</f>
        <v>1120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40</v>
      </c>
      <c r="B149" s="175">
        <f>'Données projet'!D142</f>
        <v>56</v>
      </c>
      <c r="C149" s="191">
        <v>30</v>
      </c>
      <c r="D149" s="182">
        <f t="shared" si="10"/>
        <v>1680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50</v>
      </c>
      <c r="B150" s="175">
        <f>'Données projet'!D143</f>
        <v>39</v>
      </c>
      <c r="C150" s="191">
        <v>40</v>
      </c>
      <c r="D150" s="182">
        <f t="shared" si="10"/>
        <v>1560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60</v>
      </c>
      <c r="B151" s="175">
        <f>'Données projet'!D144</f>
        <v>25</v>
      </c>
      <c r="C151" s="191">
        <v>50</v>
      </c>
      <c r="D151" s="182">
        <f t="shared" si="10"/>
        <v>1250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70</v>
      </c>
      <c r="B152" s="175">
        <f>'Données projet'!D145</f>
        <v>21</v>
      </c>
      <c r="C152" s="191">
        <v>60</v>
      </c>
      <c r="D152" s="182">
        <f t="shared" si="10"/>
        <v>1260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80</v>
      </c>
      <c r="B153" s="175">
        <f>'Données projet'!D146</f>
        <v>284</v>
      </c>
      <c r="C153" s="191">
        <v>70</v>
      </c>
      <c r="D153" s="182">
        <f t="shared" si="10"/>
        <v>19880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>
        <v>70</v>
      </c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Robinier faux-acacia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1082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5</v>
      </c>
      <c r="B178" s="181">
        <f>'Données projet'!D166</f>
        <v>13</v>
      </c>
      <c r="C178" s="193">
        <v>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10</v>
      </c>
      <c r="B179" s="181">
        <f>'Données projet'!D167</f>
        <v>41</v>
      </c>
      <c r="C179" s="193">
        <v>6</v>
      </c>
      <c r="D179" s="179">
        <f t="shared" ref="D179:D197" si="11">B179*C179</f>
        <v>246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15</v>
      </c>
      <c r="B180" s="181">
        <f>'Données projet'!D168</f>
        <v>28</v>
      </c>
      <c r="C180" s="193">
        <v>10</v>
      </c>
      <c r="D180" s="179">
        <f t="shared" si="11"/>
        <v>280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20</v>
      </c>
      <c r="B181" s="181">
        <f>'Données projet'!D169</f>
        <v>20</v>
      </c>
      <c r="C181" s="193">
        <v>25</v>
      </c>
      <c r="D181" s="179">
        <f t="shared" si="11"/>
        <v>500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25</v>
      </c>
      <c r="B182" s="181">
        <f>'Données projet'!D170</f>
        <v>14</v>
      </c>
      <c r="C182" s="193">
        <v>30</v>
      </c>
      <c r="D182" s="179">
        <f t="shared" si="11"/>
        <v>420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30</v>
      </c>
      <c r="B183" s="181">
        <f>'Données projet'!D171</f>
        <v>11</v>
      </c>
      <c r="C183" s="193">
        <v>60</v>
      </c>
      <c r="D183" s="179">
        <f t="shared" si="11"/>
        <v>660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35</v>
      </c>
      <c r="B184" s="181">
        <f>'Données projet'!D172</f>
        <v>228</v>
      </c>
      <c r="C184" s="193">
        <v>80</v>
      </c>
      <c r="D184" s="179">
        <f t="shared" si="11"/>
        <v>18240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Douglas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1406.6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10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20</v>
      </c>
      <c r="B210" s="181">
        <f>'Données projet'!D193</f>
        <v>63</v>
      </c>
      <c r="C210" s="193">
        <v>12</v>
      </c>
      <c r="D210" s="179">
        <f t="shared" ref="D210:D228" si="12">B210*C210</f>
        <v>756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30</v>
      </c>
      <c r="B211" s="181">
        <f>'Données projet'!D194</f>
        <v>112</v>
      </c>
      <c r="C211" s="193">
        <v>35</v>
      </c>
      <c r="D211" s="179">
        <f t="shared" si="12"/>
        <v>3920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40</v>
      </c>
      <c r="B212" s="181">
        <f>'Données projet'!D195</f>
        <v>112</v>
      </c>
      <c r="C212" s="193">
        <v>45</v>
      </c>
      <c r="D212" s="179">
        <f t="shared" si="12"/>
        <v>5040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50</v>
      </c>
      <c r="B213" s="181">
        <f>'Données projet'!D196</f>
        <v>108</v>
      </c>
      <c r="C213" s="193">
        <v>50</v>
      </c>
      <c r="D213" s="179">
        <f t="shared" si="12"/>
        <v>5400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60</v>
      </c>
      <c r="B214" s="181">
        <f>'Données projet'!D197</f>
        <v>83</v>
      </c>
      <c r="C214" s="193">
        <v>55</v>
      </c>
      <c r="D214" s="179">
        <f t="shared" si="12"/>
        <v>4565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70</v>
      </c>
      <c r="B215" s="181">
        <f>'Données projet'!D198</f>
        <v>67</v>
      </c>
      <c r="C215" s="193">
        <v>60</v>
      </c>
      <c r="D215" s="179">
        <f t="shared" si="12"/>
        <v>4020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80</v>
      </c>
      <c r="B216" s="181">
        <f>'Données projet'!D199</f>
        <v>651</v>
      </c>
      <c r="C216" s="193">
        <v>60</v>
      </c>
      <c r="D216" s="179">
        <f t="shared" si="12"/>
        <v>39060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Mélèze d'Europe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1449.88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20</v>
      </c>
      <c r="B240" s="181">
        <f>'Données projet'!D218</f>
        <v>60</v>
      </c>
      <c r="C240" s="193">
        <v>10</v>
      </c>
      <c r="D240" s="179">
        <f>B240*C240</f>
        <v>600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30</v>
      </c>
      <c r="B241" s="181">
        <f>'Données projet'!D219</f>
        <v>84</v>
      </c>
      <c r="C241" s="193">
        <v>25</v>
      </c>
      <c r="D241" s="179">
        <f t="shared" ref="D241:D259" si="13">B241*C241</f>
        <v>2100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40</v>
      </c>
      <c r="B242" s="181">
        <f>'Données projet'!D220</f>
        <v>82</v>
      </c>
      <c r="C242" s="193">
        <v>30</v>
      </c>
      <c r="D242" s="179">
        <f t="shared" si="13"/>
        <v>2460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50</v>
      </c>
      <c r="B243" s="181">
        <f>'Données projet'!D221</f>
        <v>68</v>
      </c>
      <c r="C243" s="193">
        <v>35</v>
      </c>
      <c r="D243" s="179">
        <f t="shared" si="13"/>
        <v>2380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60</v>
      </c>
      <c r="B244" s="181">
        <f>'Données projet'!D222</f>
        <v>55</v>
      </c>
      <c r="C244" s="193">
        <v>40</v>
      </c>
      <c r="D244" s="179">
        <f t="shared" si="13"/>
        <v>2200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70</v>
      </c>
      <c r="B245" s="181">
        <f>'Données projet'!D223</f>
        <v>45</v>
      </c>
      <c r="C245" s="193">
        <v>45</v>
      </c>
      <c r="D245" s="179">
        <f t="shared" si="13"/>
        <v>2025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80</v>
      </c>
      <c r="B246" s="181">
        <f>'Données projet'!D224</f>
        <v>442</v>
      </c>
      <c r="C246" s="193">
        <v>50</v>
      </c>
      <c r="D246" s="179">
        <f t="shared" si="13"/>
        <v>22100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>Pin laricio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1092.82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20</v>
      </c>
      <c r="B271" s="181">
        <f>'Données projet'!D244</f>
        <v>23</v>
      </c>
      <c r="C271" s="193">
        <v>10</v>
      </c>
      <c r="D271" s="179">
        <f>B271*C271</f>
        <v>230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30</v>
      </c>
      <c r="B272" s="181">
        <f>'Données projet'!D245</f>
        <v>84</v>
      </c>
      <c r="C272" s="193">
        <v>15</v>
      </c>
      <c r="D272" s="179">
        <f t="shared" ref="D272:D290" si="14">B272*C272</f>
        <v>1260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40</v>
      </c>
      <c r="B273" s="181">
        <f>'Données projet'!D246</f>
        <v>84</v>
      </c>
      <c r="C273" s="193">
        <v>25</v>
      </c>
      <c r="D273" s="179">
        <f t="shared" si="14"/>
        <v>2100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50</v>
      </c>
      <c r="B274" s="181">
        <f>'Données projet'!D247</f>
        <v>82</v>
      </c>
      <c r="C274" s="193">
        <v>35</v>
      </c>
      <c r="D274" s="179">
        <f t="shared" si="14"/>
        <v>2870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60</v>
      </c>
      <c r="B275" s="181">
        <f>'Données projet'!D248</f>
        <v>64</v>
      </c>
      <c r="C275" s="193">
        <v>40</v>
      </c>
      <c r="D275" s="179">
        <f t="shared" si="14"/>
        <v>2560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70</v>
      </c>
      <c r="B276" s="181">
        <f>'Données projet'!D249</f>
        <v>50</v>
      </c>
      <c r="C276" s="193">
        <v>50</v>
      </c>
      <c r="D276" s="179">
        <f t="shared" si="14"/>
        <v>2500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80</v>
      </c>
      <c r="B277" s="181">
        <f>'Données projet'!D250</f>
        <v>522</v>
      </c>
      <c r="C277" s="193">
        <v>60</v>
      </c>
      <c r="D277" s="179">
        <f t="shared" si="14"/>
        <v>31320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>Erable sycomore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v>1298.4000000000001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20</v>
      </c>
      <c r="B302" s="181">
        <f>'Données projet'!D270</f>
        <v>43</v>
      </c>
      <c r="C302" s="191">
        <v>10</v>
      </c>
      <c r="D302" s="182">
        <f>B302*C302</f>
        <v>430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30</v>
      </c>
      <c r="B303" s="181">
        <f>'Données projet'!D271</f>
        <v>56</v>
      </c>
      <c r="C303" s="191">
        <v>20</v>
      </c>
      <c r="D303" s="182">
        <f t="shared" ref="D303:D321" si="15">B303*C303</f>
        <v>1120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40</v>
      </c>
      <c r="B304" s="181">
        <f>'Données projet'!D272</f>
        <v>56</v>
      </c>
      <c r="C304" s="191">
        <v>30</v>
      </c>
      <c r="D304" s="182">
        <f t="shared" si="15"/>
        <v>1680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50</v>
      </c>
      <c r="B305" s="181">
        <f>'Données projet'!D273</f>
        <v>39</v>
      </c>
      <c r="C305" s="191">
        <v>40</v>
      </c>
      <c r="D305" s="182">
        <f t="shared" si="15"/>
        <v>1560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60</v>
      </c>
      <c r="B306" s="181">
        <f>'Données projet'!D274</f>
        <v>25</v>
      </c>
      <c r="C306" s="191">
        <v>50</v>
      </c>
      <c r="D306" s="182">
        <f t="shared" si="15"/>
        <v>1250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70</v>
      </c>
      <c r="B307" s="181">
        <f>'Données projet'!D275</f>
        <v>21</v>
      </c>
      <c r="C307" s="191">
        <v>60</v>
      </c>
      <c r="D307" s="182">
        <f t="shared" si="15"/>
        <v>1260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80</v>
      </c>
      <c r="B308" s="181">
        <f>'Données projet'!D276</f>
        <v>284</v>
      </c>
      <c r="C308" s="191">
        <v>70</v>
      </c>
      <c r="D308" s="182">
        <f t="shared" si="15"/>
        <v>19880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>
        <v>70</v>
      </c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CF78DE-6FBE-4DCE-BBCC-8E4E206D43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2023-09-14T13:43:22Z</dcterms:modified>
</cp:coreProperties>
</file>